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" yWindow="-12" windowWidth="23064" windowHeight="5964"/>
  </bookViews>
  <sheets>
    <sheet name="Calculs" sheetId="1" r:id="rId1"/>
  </sheets>
  <definedNames>
    <definedName name="a">Calculs!#REF!</definedName>
    <definedName name="a_1Tab">Calculs!$D$45:$D$145</definedName>
    <definedName name="AD">Calculs!$F$17</definedName>
    <definedName name="b">Calculs!#REF!</definedName>
    <definedName name="b_1Tab">Calculs!$E$45:$E$145</definedName>
    <definedName name="b1_Tab">Calculs!$E$45:$E$145</definedName>
    <definedName name="BA">Calculs!$G$17</definedName>
    <definedName name="c_">Calculs!#REF!</definedName>
    <definedName name="c_1Tab">Calculs!$F$45:$F$145</definedName>
    <definedName name="CcTab">Calculs!$N$45:$N$145</definedName>
    <definedName name="CourseVérTab">Calculs!$B$45:$B$145</definedName>
    <definedName name="Cv">Calculs!$I$16</definedName>
    <definedName name="CvMax">Calculs!$W$20</definedName>
    <definedName name="CvMaxTab">Calculs!$B$145</definedName>
    <definedName name="Données">Calculs!$F$10,Calculs!$F$11,Calculs!$G$11,Calculs!$F$17,Calculs!$G$17</definedName>
    <definedName name="FsTab">Calculs!$R$45:$R$145</definedName>
    <definedName name="Fv">Calculs!$F$22</definedName>
    <definedName name="XaFin">Calculs!$W$13</definedName>
    <definedName name="Xao">Calculs!$J$45</definedName>
    <definedName name="XaTab">Calculs!$J$45:$J$145</definedName>
    <definedName name="Xb">Calculs!$F$10</definedName>
    <definedName name="Xco">Calculs!$L$45</definedName>
    <definedName name="XcTab">Calculs!$L$45:$L$145</definedName>
    <definedName name="Xdo">Calculs!$G$10</definedName>
    <definedName name="XRbTab">Calculs!$O$45:$O$145</definedName>
    <definedName name="XRcTab">Calculs!$Q$45:$Q$145</definedName>
    <definedName name="YaFin">Calculs!$W$14</definedName>
    <definedName name="Yao">Calculs!$K$45</definedName>
    <definedName name="YaTab">Calculs!$K$45:$K$145</definedName>
    <definedName name="Yb">Calculs!$F$11</definedName>
    <definedName name="Yco">Calculs!$M$45</definedName>
    <definedName name="YcTab">Calculs!$M$45:$M$145</definedName>
    <definedName name="Ydo">Calculs!$G$11</definedName>
    <definedName name="YdTab">Calculs!$C$45:$C$145</definedName>
    <definedName name="YRbTab">Calculs!$P$45:$P$145</definedName>
    <definedName name="δfin">Calculs!$W$7</definedName>
    <definedName name="δo">Calculs!$I$45</definedName>
    <definedName name="δTab">Calculs!$I$45:$I$145</definedName>
    <definedName name="ε">Calculs!#REF!</definedName>
    <definedName name="ε1">Calculs!$AA$18</definedName>
    <definedName name="θo">Calculs!$H$45</definedName>
    <definedName name="θTab">Calculs!$H$45:$H$145</definedName>
  </definedNames>
  <calcPr calcId="145621"/>
</workbook>
</file>

<file path=xl/calcChain.xml><?xml version="1.0" encoding="utf-8"?>
<calcChain xmlns="http://schemas.openxmlformats.org/spreadsheetml/2006/main">
  <c r="E46" i="1" l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45" i="1"/>
  <c r="C45" i="1"/>
  <c r="F45" i="1" s="1"/>
  <c r="D45" i="1" l="1"/>
  <c r="G45" i="1" s="1"/>
  <c r="H45" i="1" l="1"/>
  <c r="W7" i="1" l="1"/>
  <c r="W14" i="1" l="1"/>
  <c r="W20" i="1" s="1"/>
  <c r="B145" i="1" s="1"/>
  <c r="X7" i="1"/>
  <c r="W13" i="1"/>
  <c r="C145" i="1" l="1"/>
  <c r="D145" i="1" s="1"/>
  <c r="B46" i="1"/>
  <c r="B47" i="1" s="1"/>
  <c r="G10" i="1"/>
  <c r="F145" i="1" l="1"/>
  <c r="G145" i="1" s="1"/>
  <c r="C46" i="1"/>
  <c r="D46" i="1" s="1"/>
  <c r="B48" i="1"/>
  <c r="C47" i="1"/>
  <c r="H145" i="1" l="1"/>
  <c r="I145" i="1" s="1"/>
  <c r="J145" i="1" s="1"/>
  <c r="F46" i="1"/>
  <c r="H46" i="1" s="1"/>
  <c r="I45" i="1"/>
  <c r="L45" i="1" s="1"/>
  <c r="F47" i="1"/>
  <c r="D47" i="1"/>
  <c r="B49" i="1"/>
  <c r="C48" i="1"/>
  <c r="L145" i="1" l="1"/>
  <c r="K145" i="1"/>
  <c r="K45" i="1"/>
  <c r="G46" i="1"/>
  <c r="J45" i="1"/>
  <c r="I46" i="1"/>
  <c r="J46" i="1" s="1"/>
  <c r="H47" i="1"/>
  <c r="G47" i="1"/>
  <c r="F48" i="1"/>
  <c r="D48" i="1"/>
  <c r="B50" i="1"/>
  <c r="C49" i="1"/>
  <c r="O45" i="1" l="1"/>
  <c r="O145" i="1" s="1"/>
  <c r="Q45" i="1"/>
  <c r="R45" i="1" s="1"/>
  <c r="R145" i="1" s="1"/>
  <c r="P45" i="1"/>
  <c r="P145" i="1" s="1"/>
  <c r="L46" i="1"/>
  <c r="N46" i="1" s="1"/>
  <c r="K46" i="1"/>
  <c r="I47" i="1"/>
  <c r="K47" i="1" s="1"/>
  <c r="H48" i="1"/>
  <c r="I48" i="1" s="1"/>
  <c r="L48" i="1" s="1"/>
  <c r="N45" i="1"/>
  <c r="N145" i="1"/>
  <c r="G48" i="1"/>
  <c r="F49" i="1"/>
  <c r="D49" i="1"/>
  <c r="B51" i="1"/>
  <c r="C50" i="1"/>
  <c r="Q145" i="1" l="1"/>
  <c r="Q46" i="1"/>
  <c r="R46" i="1" s="1"/>
  <c r="O46" i="1"/>
  <c r="L47" i="1"/>
  <c r="N47" i="1" s="1"/>
  <c r="J47" i="1"/>
  <c r="P46" i="1"/>
  <c r="H49" i="1"/>
  <c r="N48" i="1"/>
  <c r="G49" i="1"/>
  <c r="K48" i="1"/>
  <c r="J48" i="1"/>
  <c r="F50" i="1"/>
  <c r="D50" i="1"/>
  <c r="B52" i="1"/>
  <c r="C51" i="1"/>
  <c r="Q47" i="1" l="1"/>
  <c r="R47" i="1" s="1"/>
  <c r="P47" i="1"/>
  <c r="O47" i="1"/>
  <c r="O48" i="1"/>
  <c r="I49" i="1"/>
  <c r="J49" i="1" s="1"/>
  <c r="H50" i="1"/>
  <c r="Q48" i="1"/>
  <c r="R48" i="1" s="1"/>
  <c r="P48" i="1"/>
  <c r="G50" i="1"/>
  <c r="D51" i="1"/>
  <c r="F51" i="1"/>
  <c r="B53" i="1"/>
  <c r="C52" i="1"/>
  <c r="L49" i="1" l="1"/>
  <c r="N49" i="1" s="1"/>
  <c r="K49" i="1"/>
  <c r="I50" i="1"/>
  <c r="L50" i="1" s="1"/>
  <c r="H51" i="1"/>
  <c r="F52" i="1"/>
  <c r="D52" i="1"/>
  <c r="B54" i="1"/>
  <c r="C53" i="1"/>
  <c r="G51" i="1"/>
  <c r="Q49" i="1" l="1"/>
  <c r="R49" i="1" s="1"/>
  <c r="O49" i="1"/>
  <c r="J50" i="1"/>
  <c r="K50" i="1"/>
  <c r="P49" i="1"/>
  <c r="H52" i="1"/>
  <c r="I51" i="1"/>
  <c r="L51" i="1" s="1"/>
  <c r="N50" i="1"/>
  <c r="G52" i="1"/>
  <c r="B55" i="1"/>
  <c r="C54" i="1"/>
  <c r="F53" i="1"/>
  <c r="D53" i="1"/>
  <c r="P50" i="1" l="1"/>
  <c r="O50" i="1"/>
  <c r="Q50" i="1"/>
  <c r="R50" i="1" s="1"/>
  <c r="H53" i="1"/>
  <c r="I52" i="1"/>
  <c r="J52" i="1" s="1"/>
  <c r="K51" i="1"/>
  <c r="J51" i="1"/>
  <c r="N51" i="1"/>
  <c r="G53" i="1"/>
  <c r="F54" i="1"/>
  <c r="D54" i="1"/>
  <c r="B56" i="1"/>
  <c r="C55" i="1"/>
  <c r="H54" i="1" l="1"/>
  <c r="Q51" i="1"/>
  <c r="R51" i="1" s="1"/>
  <c r="P51" i="1"/>
  <c r="O51" i="1"/>
  <c r="K52" i="1"/>
  <c r="L52" i="1"/>
  <c r="I53" i="1"/>
  <c r="K53" i="1" s="1"/>
  <c r="G54" i="1"/>
  <c r="B57" i="1"/>
  <c r="C56" i="1"/>
  <c r="F55" i="1"/>
  <c r="D55" i="1"/>
  <c r="P52" i="1" l="1"/>
  <c r="H55" i="1"/>
  <c r="N52" i="1"/>
  <c r="O52" i="1"/>
  <c r="Q52" i="1"/>
  <c r="R52" i="1" s="1"/>
  <c r="I54" i="1"/>
  <c r="J54" i="1" s="1"/>
  <c r="J53" i="1"/>
  <c r="L53" i="1"/>
  <c r="G55" i="1"/>
  <c r="F56" i="1"/>
  <c r="D56" i="1"/>
  <c r="B58" i="1"/>
  <c r="C57" i="1"/>
  <c r="H56" i="1" l="1"/>
  <c r="N53" i="1"/>
  <c r="O53" i="1"/>
  <c r="Q53" i="1"/>
  <c r="R53" i="1" s="1"/>
  <c r="K54" i="1"/>
  <c r="L54" i="1"/>
  <c r="P53" i="1"/>
  <c r="I55" i="1"/>
  <c r="L55" i="1" s="1"/>
  <c r="G56" i="1"/>
  <c r="F57" i="1"/>
  <c r="D57" i="1"/>
  <c r="B59" i="1"/>
  <c r="C58" i="1"/>
  <c r="I56" i="1" l="1"/>
  <c r="L56" i="1" s="1"/>
  <c r="H57" i="1"/>
  <c r="O54" i="1"/>
  <c r="Q54" i="1"/>
  <c r="R54" i="1" s="1"/>
  <c r="N54" i="1"/>
  <c r="P54" i="1"/>
  <c r="J55" i="1"/>
  <c r="K55" i="1"/>
  <c r="N55" i="1"/>
  <c r="G57" i="1"/>
  <c r="F58" i="1"/>
  <c r="D58" i="1"/>
  <c r="B60" i="1"/>
  <c r="C59" i="1"/>
  <c r="K56" i="1" l="1"/>
  <c r="J56" i="1"/>
  <c r="O55" i="1"/>
  <c r="I57" i="1"/>
  <c r="K57" i="1" s="1"/>
  <c r="H58" i="1"/>
  <c r="I58" i="1" s="1"/>
  <c r="Q55" i="1"/>
  <c r="R55" i="1" s="1"/>
  <c r="P55" i="1"/>
  <c r="N56" i="1"/>
  <c r="G58" i="1"/>
  <c r="D59" i="1"/>
  <c r="F59" i="1"/>
  <c r="H59" i="1" s="1"/>
  <c r="B61" i="1"/>
  <c r="C60" i="1"/>
  <c r="Q56" i="1" l="1"/>
  <c r="R56" i="1" s="1"/>
  <c r="O56" i="1"/>
  <c r="P56" i="1"/>
  <c r="J57" i="1"/>
  <c r="L57" i="1"/>
  <c r="K58" i="1"/>
  <c r="L58" i="1"/>
  <c r="J58" i="1"/>
  <c r="F60" i="1"/>
  <c r="D60" i="1"/>
  <c r="B62" i="1"/>
  <c r="C61" i="1"/>
  <c r="G59" i="1"/>
  <c r="Q57" i="1" l="1"/>
  <c r="R57" i="1" s="1"/>
  <c r="P57" i="1"/>
  <c r="O57" i="1"/>
  <c r="N57" i="1"/>
  <c r="I59" i="1"/>
  <c r="L59" i="1" s="1"/>
  <c r="N59" i="1" s="1"/>
  <c r="H60" i="1"/>
  <c r="O58" i="1"/>
  <c r="N58" i="1"/>
  <c r="P58" i="1"/>
  <c r="Q58" i="1"/>
  <c r="R58" i="1" s="1"/>
  <c r="G60" i="1"/>
  <c r="D61" i="1"/>
  <c r="F61" i="1"/>
  <c r="B63" i="1"/>
  <c r="C62" i="1"/>
  <c r="K59" i="1" l="1"/>
  <c r="J59" i="1"/>
  <c r="I60" i="1"/>
  <c r="L60" i="1" s="1"/>
  <c r="H61" i="1"/>
  <c r="F62" i="1"/>
  <c r="D62" i="1"/>
  <c r="B64" i="1"/>
  <c r="C63" i="1"/>
  <c r="G61" i="1"/>
  <c r="P59" i="1" l="1"/>
  <c r="Q59" i="1"/>
  <c r="R59" i="1" s="1"/>
  <c r="O59" i="1"/>
  <c r="J60" i="1"/>
  <c r="K60" i="1"/>
  <c r="I61" i="1"/>
  <c r="K61" i="1" s="1"/>
  <c r="H62" i="1"/>
  <c r="N60" i="1"/>
  <c r="G62" i="1"/>
  <c r="F63" i="1"/>
  <c r="D63" i="1"/>
  <c r="B65" i="1"/>
  <c r="C64" i="1"/>
  <c r="O60" i="1" l="1"/>
  <c r="P60" i="1"/>
  <c r="L61" i="1"/>
  <c r="J61" i="1"/>
  <c r="Q60" i="1"/>
  <c r="R60" i="1" s="1"/>
  <c r="I62" i="1"/>
  <c r="L62" i="1" s="1"/>
  <c r="H63" i="1"/>
  <c r="G63" i="1"/>
  <c r="F64" i="1"/>
  <c r="D64" i="1"/>
  <c r="B66" i="1"/>
  <c r="C65" i="1"/>
  <c r="J62" i="1" l="1"/>
  <c r="Q61" i="1"/>
  <c r="R61" i="1" s="1"/>
  <c r="K62" i="1"/>
  <c r="O61" i="1"/>
  <c r="P61" i="1"/>
  <c r="N61" i="1"/>
  <c r="H64" i="1"/>
  <c r="I63" i="1"/>
  <c r="K63" i="1" s="1"/>
  <c r="N62" i="1"/>
  <c r="G64" i="1"/>
  <c r="F65" i="1"/>
  <c r="D65" i="1"/>
  <c r="B67" i="1"/>
  <c r="C66" i="1"/>
  <c r="O62" i="1" l="1"/>
  <c r="P62" i="1"/>
  <c r="Q62" i="1"/>
  <c r="R62" i="1" s="1"/>
  <c r="H65" i="1"/>
  <c r="J63" i="1"/>
  <c r="L63" i="1"/>
  <c r="I64" i="1"/>
  <c r="J64" i="1" s="1"/>
  <c r="F66" i="1"/>
  <c r="D66" i="1"/>
  <c r="B68" i="1"/>
  <c r="C67" i="1"/>
  <c r="G65" i="1"/>
  <c r="I65" i="1" l="1"/>
  <c r="K65" i="1" s="1"/>
  <c r="H66" i="1"/>
  <c r="N63" i="1"/>
  <c r="O63" i="1"/>
  <c r="P63" i="1"/>
  <c r="Q63" i="1"/>
  <c r="R63" i="1" s="1"/>
  <c r="L64" i="1"/>
  <c r="K64" i="1"/>
  <c r="D67" i="1"/>
  <c r="F67" i="1"/>
  <c r="B69" i="1"/>
  <c r="C68" i="1"/>
  <c r="G66" i="1"/>
  <c r="H67" i="1" l="1"/>
  <c r="J65" i="1"/>
  <c r="L65" i="1"/>
  <c r="N64" i="1"/>
  <c r="O64" i="1"/>
  <c r="P64" i="1"/>
  <c r="Q64" i="1"/>
  <c r="R64" i="1" s="1"/>
  <c r="I66" i="1"/>
  <c r="J66" i="1" s="1"/>
  <c r="G67" i="1"/>
  <c r="F68" i="1"/>
  <c r="D68" i="1"/>
  <c r="B70" i="1"/>
  <c r="C69" i="1"/>
  <c r="O65" i="1" l="1"/>
  <c r="Q65" i="1"/>
  <c r="R65" i="1" s="1"/>
  <c r="P65" i="1"/>
  <c r="N65" i="1"/>
  <c r="H68" i="1"/>
  <c r="I67" i="1"/>
  <c r="K67" i="1" s="1"/>
  <c r="K66" i="1"/>
  <c r="L66" i="1"/>
  <c r="F69" i="1"/>
  <c r="D69" i="1"/>
  <c r="B71" i="1"/>
  <c r="C70" i="1"/>
  <c r="G68" i="1"/>
  <c r="H69" i="1" l="1"/>
  <c r="I69" i="1" s="1"/>
  <c r="P66" i="1"/>
  <c r="N66" i="1"/>
  <c r="O66" i="1"/>
  <c r="Q66" i="1"/>
  <c r="R66" i="1" s="1"/>
  <c r="J67" i="1"/>
  <c r="L67" i="1"/>
  <c r="I68" i="1"/>
  <c r="L68" i="1" s="1"/>
  <c r="G69" i="1"/>
  <c r="F70" i="1"/>
  <c r="D70" i="1"/>
  <c r="B72" i="1"/>
  <c r="C71" i="1"/>
  <c r="H70" i="1" l="1"/>
  <c r="N67" i="1"/>
  <c r="O67" i="1"/>
  <c r="J68" i="1"/>
  <c r="P67" i="1"/>
  <c r="K68" i="1"/>
  <c r="Q67" i="1"/>
  <c r="R67" i="1" s="1"/>
  <c r="N68" i="1"/>
  <c r="G70" i="1"/>
  <c r="K69" i="1"/>
  <c r="L69" i="1"/>
  <c r="J69" i="1"/>
  <c r="F71" i="1"/>
  <c r="D71" i="1"/>
  <c r="B73" i="1"/>
  <c r="C72" i="1"/>
  <c r="O68" i="1" l="1"/>
  <c r="I70" i="1"/>
  <c r="L70" i="1" s="1"/>
  <c r="H71" i="1"/>
  <c r="O69" i="1"/>
  <c r="P68" i="1"/>
  <c r="Q68" i="1"/>
  <c r="R68" i="1" s="1"/>
  <c r="P69" i="1"/>
  <c r="Q69" i="1"/>
  <c r="R69" i="1" s="1"/>
  <c r="N69" i="1"/>
  <c r="G71" i="1"/>
  <c r="F72" i="1"/>
  <c r="D72" i="1"/>
  <c r="B74" i="1"/>
  <c r="C73" i="1"/>
  <c r="J70" i="1" l="1"/>
  <c r="K70" i="1"/>
  <c r="H72" i="1"/>
  <c r="I71" i="1"/>
  <c r="K71" i="1" s="1"/>
  <c r="N70" i="1"/>
  <c r="G72" i="1"/>
  <c r="F73" i="1"/>
  <c r="D73" i="1"/>
  <c r="B75" i="1"/>
  <c r="C74" i="1"/>
  <c r="O70" i="1" l="1"/>
  <c r="P70" i="1"/>
  <c r="Q70" i="1"/>
  <c r="R70" i="1" s="1"/>
  <c r="H73" i="1"/>
  <c r="I73" i="1" s="1"/>
  <c r="J71" i="1"/>
  <c r="L71" i="1"/>
  <c r="I72" i="1"/>
  <c r="K72" i="1" s="1"/>
  <c r="G73" i="1"/>
  <c r="F74" i="1"/>
  <c r="D74" i="1"/>
  <c r="B76" i="1"/>
  <c r="C75" i="1"/>
  <c r="O71" i="1" l="1"/>
  <c r="H74" i="1"/>
  <c r="P71" i="1"/>
  <c r="N71" i="1"/>
  <c r="Q71" i="1"/>
  <c r="R71" i="1" s="1"/>
  <c r="L72" i="1"/>
  <c r="J72" i="1"/>
  <c r="G74" i="1"/>
  <c r="K73" i="1"/>
  <c r="J73" i="1"/>
  <c r="L73" i="1"/>
  <c r="D75" i="1"/>
  <c r="F75" i="1"/>
  <c r="B77" i="1"/>
  <c r="C76" i="1"/>
  <c r="Q72" i="1" l="1"/>
  <c r="R72" i="1" s="1"/>
  <c r="I74" i="1"/>
  <c r="J74" i="1" s="1"/>
  <c r="H75" i="1"/>
  <c r="N72" i="1"/>
  <c r="O72" i="1"/>
  <c r="O73" i="1"/>
  <c r="P72" i="1"/>
  <c r="Q73" i="1"/>
  <c r="R73" i="1" s="1"/>
  <c r="P73" i="1"/>
  <c r="N73" i="1"/>
  <c r="K74" i="1"/>
  <c r="L74" i="1"/>
  <c r="F76" i="1"/>
  <c r="D76" i="1"/>
  <c r="B78" i="1"/>
  <c r="C77" i="1"/>
  <c r="G75" i="1"/>
  <c r="I75" i="1" l="1"/>
  <c r="L75" i="1" s="1"/>
  <c r="N75" i="1" s="1"/>
  <c r="H76" i="1"/>
  <c r="I76" i="1" s="1"/>
  <c r="O74" i="1"/>
  <c r="N74" i="1"/>
  <c r="P74" i="1"/>
  <c r="Q74" i="1"/>
  <c r="R74" i="1" s="1"/>
  <c r="G76" i="1"/>
  <c r="F77" i="1"/>
  <c r="D77" i="1"/>
  <c r="B79" i="1"/>
  <c r="C78" i="1"/>
  <c r="J75" i="1" l="1"/>
  <c r="K75" i="1"/>
  <c r="H77" i="1"/>
  <c r="L76" i="1"/>
  <c r="J76" i="1"/>
  <c r="K76" i="1"/>
  <c r="F78" i="1"/>
  <c r="D78" i="1"/>
  <c r="B80" i="1"/>
  <c r="C79" i="1"/>
  <c r="G77" i="1"/>
  <c r="O75" i="1" l="1"/>
  <c r="Q75" i="1"/>
  <c r="R75" i="1" s="1"/>
  <c r="P75" i="1"/>
  <c r="H78" i="1"/>
  <c r="O76" i="1"/>
  <c r="I77" i="1"/>
  <c r="J77" i="1" s="1"/>
  <c r="P76" i="1"/>
  <c r="Q76" i="1"/>
  <c r="R76" i="1" s="1"/>
  <c r="N76" i="1"/>
  <c r="F79" i="1"/>
  <c r="D79" i="1"/>
  <c r="B81" i="1"/>
  <c r="C80" i="1"/>
  <c r="G78" i="1"/>
  <c r="H79" i="1" l="1"/>
  <c r="L77" i="1"/>
  <c r="K77" i="1"/>
  <c r="P77" i="1" s="1"/>
  <c r="I78" i="1"/>
  <c r="K78" i="1" s="1"/>
  <c r="F80" i="1"/>
  <c r="D80" i="1"/>
  <c r="B82" i="1"/>
  <c r="C81" i="1"/>
  <c r="G79" i="1"/>
  <c r="H80" i="1" l="1"/>
  <c r="I80" i="1" s="1"/>
  <c r="Q77" i="1"/>
  <c r="R77" i="1" s="1"/>
  <c r="N77" i="1"/>
  <c r="O77" i="1"/>
  <c r="L78" i="1"/>
  <c r="J78" i="1"/>
  <c r="I79" i="1"/>
  <c r="K79" i="1" s="1"/>
  <c r="F81" i="1"/>
  <c r="D81" i="1"/>
  <c r="B83" i="1"/>
  <c r="C82" i="1"/>
  <c r="G80" i="1"/>
  <c r="H81" i="1" l="1"/>
  <c r="P78" i="1"/>
  <c r="O78" i="1"/>
  <c r="N78" i="1"/>
  <c r="Q78" i="1"/>
  <c r="R78" i="1" s="1"/>
  <c r="L79" i="1"/>
  <c r="N79" i="1" s="1"/>
  <c r="J79" i="1"/>
  <c r="G81" i="1"/>
  <c r="J80" i="1"/>
  <c r="K80" i="1"/>
  <c r="L80" i="1"/>
  <c r="F82" i="1"/>
  <c r="D82" i="1"/>
  <c r="B84" i="1"/>
  <c r="C83" i="1"/>
  <c r="I81" i="1" l="1"/>
  <c r="K81" i="1" s="1"/>
  <c r="Q79" i="1"/>
  <c r="R79" i="1" s="1"/>
  <c r="P79" i="1"/>
  <c r="O80" i="1"/>
  <c r="H82" i="1"/>
  <c r="O79" i="1"/>
  <c r="Q80" i="1"/>
  <c r="R80" i="1" s="1"/>
  <c r="P80" i="1"/>
  <c r="N80" i="1"/>
  <c r="G82" i="1"/>
  <c r="D83" i="1"/>
  <c r="F83" i="1"/>
  <c r="B85" i="1"/>
  <c r="C84" i="1"/>
  <c r="H83" i="1" l="1"/>
  <c r="I83" i="1" s="1"/>
  <c r="J83" i="1" s="1"/>
  <c r="J81" i="1"/>
  <c r="L81" i="1"/>
  <c r="I82" i="1"/>
  <c r="L82" i="1" s="1"/>
  <c r="N81" i="1"/>
  <c r="F84" i="1"/>
  <c r="D84" i="1"/>
  <c r="B86" i="1"/>
  <c r="C85" i="1"/>
  <c r="G83" i="1"/>
  <c r="Q81" i="1" l="1"/>
  <c r="R81" i="1" s="1"/>
  <c r="P81" i="1"/>
  <c r="O81" i="1"/>
  <c r="H84" i="1"/>
  <c r="K82" i="1"/>
  <c r="J82" i="1"/>
  <c r="K83" i="1"/>
  <c r="L83" i="1"/>
  <c r="N83" i="1" s="1"/>
  <c r="N82" i="1"/>
  <c r="G84" i="1"/>
  <c r="D85" i="1"/>
  <c r="F85" i="1"/>
  <c r="B87" i="1"/>
  <c r="C86" i="1"/>
  <c r="Q83" i="1" l="1"/>
  <c r="R83" i="1" s="1"/>
  <c r="Q82" i="1"/>
  <c r="R82" i="1" s="1"/>
  <c r="H85" i="1"/>
  <c r="O83" i="1"/>
  <c r="P83" i="1"/>
  <c r="P82" i="1"/>
  <c r="O82" i="1"/>
  <c r="I84" i="1"/>
  <c r="J84" i="1" s="1"/>
  <c r="G85" i="1"/>
  <c r="B88" i="1"/>
  <c r="C87" i="1"/>
  <c r="F86" i="1"/>
  <c r="D86" i="1"/>
  <c r="I85" i="1" l="1"/>
  <c r="L85" i="1" s="1"/>
  <c r="H86" i="1"/>
  <c r="G86" i="1"/>
  <c r="L84" i="1"/>
  <c r="K84" i="1"/>
  <c r="F87" i="1"/>
  <c r="D87" i="1"/>
  <c r="B89" i="1"/>
  <c r="C88" i="1"/>
  <c r="K85" i="1" l="1"/>
  <c r="J85" i="1"/>
  <c r="H87" i="1"/>
  <c r="N84" i="1"/>
  <c r="O84" i="1"/>
  <c r="N85" i="1"/>
  <c r="I86" i="1"/>
  <c r="J86" i="1" s="1"/>
  <c r="P84" i="1"/>
  <c r="Q84" i="1"/>
  <c r="R84" i="1" s="1"/>
  <c r="G87" i="1"/>
  <c r="F88" i="1"/>
  <c r="D88" i="1"/>
  <c r="B90" i="1"/>
  <c r="C89" i="1"/>
  <c r="P85" i="1" l="1"/>
  <c r="O85" i="1"/>
  <c r="Q85" i="1"/>
  <c r="R85" i="1" s="1"/>
  <c r="I87" i="1"/>
  <c r="J87" i="1" s="1"/>
  <c r="H88" i="1"/>
  <c r="I88" i="1" s="1"/>
  <c r="L86" i="1"/>
  <c r="K86" i="1"/>
  <c r="G88" i="1"/>
  <c r="B91" i="1"/>
  <c r="C90" i="1"/>
  <c r="F89" i="1"/>
  <c r="D89" i="1"/>
  <c r="L87" i="1" l="1"/>
  <c r="K87" i="1"/>
  <c r="Q87" i="1" s="1"/>
  <c r="R87" i="1" s="1"/>
  <c r="H89" i="1"/>
  <c r="O87" i="1"/>
  <c r="N86" i="1"/>
  <c r="O86" i="1"/>
  <c r="P86" i="1"/>
  <c r="Q86" i="1"/>
  <c r="R86" i="1" s="1"/>
  <c r="N87" i="1"/>
  <c r="J88" i="1"/>
  <c r="K88" i="1"/>
  <c r="L88" i="1"/>
  <c r="G89" i="1"/>
  <c r="F90" i="1"/>
  <c r="D90" i="1"/>
  <c r="B92" i="1"/>
  <c r="C91" i="1"/>
  <c r="P87" i="1" l="1"/>
  <c r="I89" i="1"/>
  <c r="K89" i="1" s="1"/>
  <c r="O88" i="1"/>
  <c r="H90" i="1"/>
  <c r="N88" i="1"/>
  <c r="Q88" i="1"/>
  <c r="R88" i="1" s="1"/>
  <c r="P88" i="1"/>
  <c r="D91" i="1"/>
  <c r="I90" i="1" s="1"/>
  <c r="L90" i="1" s="1"/>
  <c r="F91" i="1"/>
  <c r="B93" i="1"/>
  <c r="C92" i="1"/>
  <c r="G90" i="1"/>
  <c r="H91" i="1" l="1"/>
  <c r="J89" i="1"/>
  <c r="L89" i="1"/>
  <c r="N89" i="1" s="1"/>
  <c r="N90" i="1"/>
  <c r="K90" i="1"/>
  <c r="J90" i="1"/>
  <c r="F92" i="1"/>
  <c r="D92" i="1"/>
  <c r="B94" i="1"/>
  <c r="C93" i="1"/>
  <c r="G91" i="1"/>
  <c r="P89" i="1" l="1"/>
  <c r="O89" i="1"/>
  <c r="Q89" i="1"/>
  <c r="R89" i="1" s="1"/>
  <c r="O90" i="1"/>
  <c r="H92" i="1"/>
  <c r="I92" i="1" s="1"/>
  <c r="I91" i="1"/>
  <c r="J91" i="1" s="1"/>
  <c r="P90" i="1"/>
  <c r="Q90" i="1"/>
  <c r="R90" i="1" s="1"/>
  <c r="G92" i="1"/>
  <c r="F93" i="1"/>
  <c r="D93" i="1"/>
  <c r="B95" i="1"/>
  <c r="C94" i="1"/>
  <c r="H93" i="1" l="1"/>
  <c r="L91" i="1"/>
  <c r="K91" i="1"/>
  <c r="P91" i="1" s="1"/>
  <c r="G93" i="1"/>
  <c r="L92" i="1"/>
  <c r="J92" i="1"/>
  <c r="K92" i="1"/>
  <c r="B96" i="1"/>
  <c r="C95" i="1"/>
  <c r="F94" i="1"/>
  <c r="D94" i="1"/>
  <c r="Q91" i="1" l="1"/>
  <c r="R91" i="1" s="1"/>
  <c r="I93" i="1"/>
  <c r="H94" i="1"/>
  <c r="I94" i="1" s="1"/>
  <c r="L94" i="1" s="1"/>
  <c r="O92" i="1"/>
  <c r="N91" i="1"/>
  <c r="O91" i="1"/>
  <c r="P92" i="1"/>
  <c r="Q92" i="1"/>
  <c r="R92" i="1" s="1"/>
  <c r="N92" i="1"/>
  <c r="G94" i="1"/>
  <c r="K93" i="1"/>
  <c r="L93" i="1"/>
  <c r="J93" i="1"/>
  <c r="F95" i="1"/>
  <c r="D95" i="1"/>
  <c r="B97" i="1"/>
  <c r="C96" i="1"/>
  <c r="H95" i="1" l="1"/>
  <c r="O93" i="1"/>
  <c r="N94" i="1"/>
  <c r="P93" i="1"/>
  <c r="Q93" i="1"/>
  <c r="R93" i="1" s="1"/>
  <c r="N93" i="1"/>
  <c r="J94" i="1"/>
  <c r="K94" i="1"/>
  <c r="O94" i="1" s="1"/>
  <c r="G95" i="1"/>
  <c r="F96" i="1"/>
  <c r="D96" i="1"/>
  <c r="B98" i="1"/>
  <c r="C97" i="1"/>
  <c r="I95" i="1"/>
  <c r="H96" i="1" l="1"/>
  <c r="G96" i="1"/>
  <c r="Q94" i="1"/>
  <c r="R94" i="1" s="1"/>
  <c r="P94" i="1"/>
  <c r="L95" i="1"/>
  <c r="K95" i="1"/>
  <c r="J95" i="1"/>
  <c r="F97" i="1"/>
  <c r="D97" i="1"/>
  <c r="B99" i="1"/>
  <c r="C98" i="1"/>
  <c r="I96" i="1" l="1"/>
  <c r="H97" i="1"/>
  <c r="O95" i="1"/>
  <c r="Q95" i="1"/>
  <c r="R95" i="1" s="1"/>
  <c r="P95" i="1"/>
  <c r="N95" i="1"/>
  <c r="I97" i="1"/>
  <c r="J96" i="1"/>
  <c r="K96" i="1"/>
  <c r="L96" i="1"/>
  <c r="F98" i="1"/>
  <c r="D98" i="1"/>
  <c r="B100" i="1"/>
  <c r="C99" i="1"/>
  <c r="G97" i="1"/>
  <c r="H98" i="1" l="1"/>
  <c r="O96" i="1"/>
  <c r="N96" i="1"/>
  <c r="Q96" i="1"/>
  <c r="R96" i="1" s="1"/>
  <c r="P96" i="1"/>
  <c r="G98" i="1"/>
  <c r="K97" i="1"/>
  <c r="J97" i="1"/>
  <c r="L97" i="1"/>
  <c r="D99" i="1"/>
  <c r="F99" i="1"/>
  <c r="B101" i="1"/>
  <c r="C100" i="1"/>
  <c r="I98" i="1"/>
  <c r="H99" i="1" l="1"/>
  <c r="O97" i="1"/>
  <c r="N97" i="1"/>
  <c r="Q97" i="1"/>
  <c r="R97" i="1" s="1"/>
  <c r="P97" i="1"/>
  <c r="I99" i="1"/>
  <c r="L99" i="1" s="1"/>
  <c r="L98" i="1"/>
  <c r="J98" i="1"/>
  <c r="K98" i="1"/>
  <c r="F100" i="1"/>
  <c r="D100" i="1"/>
  <c r="B102" i="1"/>
  <c r="C101" i="1"/>
  <c r="G99" i="1"/>
  <c r="H100" i="1" l="1"/>
  <c r="O98" i="1"/>
  <c r="P98" i="1"/>
  <c r="Q98" i="1"/>
  <c r="R98" i="1" s="1"/>
  <c r="N98" i="1"/>
  <c r="N99" i="1"/>
  <c r="K99" i="1"/>
  <c r="J99" i="1"/>
  <c r="G100" i="1"/>
  <c r="F101" i="1"/>
  <c r="D101" i="1"/>
  <c r="B103" i="1"/>
  <c r="C102" i="1"/>
  <c r="O99" i="1" l="1"/>
  <c r="H101" i="1"/>
  <c r="G101" i="1"/>
  <c r="I100" i="1"/>
  <c r="K100" i="1" s="1"/>
  <c r="P99" i="1"/>
  <c r="Q99" i="1"/>
  <c r="R99" i="1" s="1"/>
  <c r="F102" i="1"/>
  <c r="D102" i="1"/>
  <c r="B104" i="1"/>
  <c r="C103" i="1"/>
  <c r="L100" i="1" l="1"/>
  <c r="J100" i="1"/>
  <c r="H102" i="1"/>
  <c r="O100" i="1"/>
  <c r="I101" i="1"/>
  <c r="J101" i="1" s="1"/>
  <c r="N100" i="1"/>
  <c r="P100" i="1"/>
  <c r="Q100" i="1"/>
  <c r="R100" i="1" s="1"/>
  <c r="G102" i="1"/>
  <c r="B105" i="1"/>
  <c r="C104" i="1"/>
  <c r="F103" i="1"/>
  <c r="D103" i="1"/>
  <c r="I102" i="1"/>
  <c r="L101" i="1" l="1"/>
  <c r="H103" i="1"/>
  <c r="K101" i="1"/>
  <c r="I103" i="1"/>
  <c r="K103" i="1" s="1"/>
  <c r="L102" i="1"/>
  <c r="K102" i="1"/>
  <c r="J102" i="1"/>
  <c r="G103" i="1"/>
  <c r="F104" i="1"/>
  <c r="D104" i="1"/>
  <c r="B106" i="1"/>
  <c r="C105" i="1"/>
  <c r="Q101" i="1" l="1"/>
  <c r="R101" i="1" s="1"/>
  <c r="N101" i="1"/>
  <c r="P101" i="1"/>
  <c r="O101" i="1"/>
  <c r="H104" i="1"/>
  <c r="O102" i="1"/>
  <c r="Q102" i="1"/>
  <c r="R102" i="1" s="1"/>
  <c r="P102" i="1"/>
  <c r="N102" i="1"/>
  <c r="J103" i="1"/>
  <c r="L103" i="1"/>
  <c r="F105" i="1"/>
  <c r="D105" i="1"/>
  <c r="B107" i="1"/>
  <c r="C106" i="1"/>
  <c r="G104" i="1"/>
  <c r="H105" i="1" l="1"/>
  <c r="O103" i="1"/>
  <c r="I104" i="1"/>
  <c r="J104" i="1" s="1"/>
  <c r="Q103" i="1"/>
  <c r="R103" i="1" s="1"/>
  <c r="P103" i="1"/>
  <c r="N103" i="1"/>
  <c r="G105" i="1"/>
  <c r="B108" i="1"/>
  <c r="C107" i="1"/>
  <c r="F106" i="1"/>
  <c r="D106" i="1"/>
  <c r="I105" i="1"/>
  <c r="H106" i="1" l="1"/>
  <c r="K104" i="1"/>
  <c r="L104" i="1"/>
  <c r="Q104" i="1" s="1"/>
  <c r="R104" i="1" s="1"/>
  <c r="P104" i="1"/>
  <c r="K105" i="1"/>
  <c r="J105" i="1"/>
  <c r="L105" i="1"/>
  <c r="O105" i="1" s="1"/>
  <c r="G106" i="1"/>
  <c r="D107" i="1"/>
  <c r="F107" i="1"/>
  <c r="B109" i="1"/>
  <c r="C108" i="1"/>
  <c r="H107" i="1" l="1"/>
  <c r="N104" i="1"/>
  <c r="O104" i="1"/>
  <c r="I106" i="1"/>
  <c r="K106" i="1" s="1"/>
  <c r="Q105" i="1"/>
  <c r="R105" i="1" s="1"/>
  <c r="P105" i="1"/>
  <c r="N105" i="1"/>
  <c r="L106" i="1"/>
  <c r="B110" i="1"/>
  <c r="C109" i="1"/>
  <c r="G107" i="1"/>
  <c r="F108" i="1"/>
  <c r="D108" i="1"/>
  <c r="J106" i="1" l="1"/>
  <c r="O106" i="1"/>
  <c r="I107" i="1"/>
  <c r="L107" i="1" s="1"/>
  <c r="N107" i="1" s="1"/>
  <c r="H108" i="1"/>
  <c r="K107" i="1"/>
  <c r="J107" i="1"/>
  <c r="P106" i="1"/>
  <c r="Q106" i="1"/>
  <c r="R106" i="1" s="1"/>
  <c r="N106" i="1"/>
  <c r="G108" i="1"/>
  <c r="F109" i="1"/>
  <c r="D109" i="1"/>
  <c r="B111" i="1"/>
  <c r="C110" i="1"/>
  <c r="P107" i="1" l="1"/>
  <c r="I108" i="1"/>
  <c r="K108" i="1" s="1"/>
  <c r="H109" i="1"/>
  <c r="O107" i="1"/>
  <c r="Q107" i="1"/>
  <c r="R107" i="1" s="1"/>
  <c r="G109" i="1"/>
  <c r="L108" i="1"/>
  <c r="J108" i="1"/>
  <c r="B112" i="1"/>
  <c r="C111" i="1"/>
  <c r="F110" i="1"/>
  <c r="D110" i="1"/>
  <c r="I109" i="1" l="1"/>
  <c r="H110" i="1"/>
  <c r="O108" i="1"/>
  <c r="P108" i="1"/>
  <c r="Q108" i="1"/>
  <c r="R108" i="1" s="1"/>
  <c r="N108" i="1"/>
  <c r="G110" i="1"/>
  <c r="K109" i="1"/>
  <c r="L109" i="1"/>
  <c r="J109" i="1"/>
  <c r="F111" i="1"/>
  <c r="D111" i="1"/>
  <c r="B113" i="1"/>
  <c r="C112" i="1"/>
  <c r="H111" i="1" l="1"/>
  <c r="O109" i="1"/>
  <c r="I110" i="1"/>
  <c r="L110" i="1" s="1"/>
  <c r="P109" i="1"/>
  <c r="Q109" i="1"/>
  <c r="R109" i="1" s="1"/>
  <c r="N109" i="1"/>
  <c r="G111" i="1"/>
  <c r="F112" i="1"/>
  <c r="H112" i="1" s="1"/>
  <c r="D112" i="1"/>
  <c r="B114" i="1"/>
  <c r="C113" i="1"/>
  <c r="I111" i="1"/>
  <c r="J110" i="1" l="1"/>
  <c r="K110" i="1"/>
  <c r="O110" i="1" s="1"/>
  <c r="N110" i="1"/>
  <c r="G112" i="1"/>
  <c r="L111" i="1"/>
  <c r="K111" i="1"/>
  <c r="J111" i="1"/>
  <c r="B115" i="1"/>
  <c r="C114" i="1"/>
  <c r="F113" i="1"/>
  <c r="D113" i="1"/>
  <c r="I112" i="1"/>
  <c r="H113" i="1" l="1"/>
  <c r="O111" i="1"/>
  <c r="P110" i="1"/>
  <c r="Q110" i="1"/>
  <c r="R110" i="1" s="1"/>
  <c r="N111" i="1"/>
  <c r="Q111" i="1"/>
  <c r="R111" i="1" s="1"/>
  <c r="P111" i="1"/>
  <c r="G113" i="1"/>
  <c r="J112" i="1"/>
  <c r="K112" i="1"/>
  <c r="L112" i="1"/>
  <c r="F114" i="1"/>
  <c r="D114" i="1"/>
  <c r="B116" i="1"/>
  <c r="C115" i="1"/>
  <c r="H114" i="1" l="1"/>
  <c r="O112" i="1"/>
  <c r="I113" i="1"/>
  <c r="L113" i="1" s="1"/>
  <c r="Q112" i="1"/>
  <c r="R112" i="1" s="1"/>
  <c r="P112" i="1"/>
  <c r="N112" i="1"/>
  <c r="G114" i="1"/>
  <c r="D115" i="1"/>
  <c r="F115" i="1"/>
  <c r="B117" i="1"/>
  <c r="C116" i="1"/>
  <c r="I114" i="1" l="1"/>
  <c r="J114" i="1" s="1"/>
  <c r="H115" i="1"/>
  <c r="K113" i="1"/>
  <c r="J113" i="1"/>
  <c r="Q113" i="1"/>
  <c r="R113" i="1" s="1"/>
  <c r="P113" i="1"/>
  <c r="N113" i="1"/>
  <c r="I115" i="1"/>
  <c r="J115" i="1" s="1"/>
  <c r="L114" i="1"/>
  <c r="F116" i="1"/>
  <c r="D116" i="1"/>
  <c r="B118" i="1"/>
  <c r="C117" i="1"/>
  <c r="G115" i="1"/>
  <c r="K114" i="1" l="1"/>
  <c r="P114" i="1" s="1"/>
  <c r="H116" i="1"/>
  <c r="O113" i="1"/>
  <c r="N114" i="1"/>
  <c r="L115" i="1"/>
  <c r="K115" i="1"/>
  <c r="F117" i="1"/>
  <c r="D117" i="1"/>
  <c r="B119" i="1"/>
  <c r="C118" i="1"/>
  <c r="G116" i="1"/>
  <c r="O114" i="1" l="1"/>
  <c r="Q114" i="1"/>
  <c r="R114" i="1" s="1"/>
  <c r="O115" i="1"/>
  <c r="I116" i="1"/>
  <c r="K116" i="1" s="1"/>
  <c r="H117" i="1"/>
  <c r="I117" i="1" s="1"/>
  <c r="K117" i="1" s="1"/>
  <c r="L116" i="1"/>
  <c r="N115" i="1"/>
  <c r="P115" i="1"/>
  <c r="Q115" i="1"/>
  <c r="R115" i="1" s="1"/>
  <c r="B120" i="1"/>
  <c r="C119" i="1"/>
  <c r="D118" i="1"/>
  <c r="F118" i="1"/>
  <c r="G117" i="1"/>
  <c r="J116" i="1" l="1"/>
  <c r="O116" i="1" s="1"/>
  <c r="H118" i="1"/>
  <c r="N116" i="1"/>
  <c r="J117" i="1"/>
  <c r="L117" i="1"/>
  <c r="B121" i="1"/>
  <c r="C120" i="1"/>
  <c r="G118" i="1"/>
  <c r="F119" i="1"/>
  <c r="D119" i="1"/>
  <c r="P116" i="1" l="1"/>
  <c r="Q116" i="1"/>
  <c r="R116" i="1" s="1"/>
  <c r="O117" i="1"/>
  <c r="H119" i="1"/>
  <c r="I118" i="1"/>
  <c r="K118" i="1" s="1"/>
  <c r="Q117" i="1"/>
  <c r="R117" i="1" s="1"/>
  <c r="P117" i="1"/>
  <c r="N117" i="1"/>
  <c r="G119" i="1"/>
  <c r="F120" i="1"/>
  <c r="D120" i="1"/>
  <c r="B122" i="1"/>
  <c r="C121" i="1"/>
  <c r="J118" i="1" l="1"/>
  <c r="L118" i="1"/>
  <c r="H120" i="1"/>
  <c r="N118" i="1"/>
  <c r="O118" i="1"/>
  <c r="P118" i="1"/>
  <c r="Q118" i="1"/>
  <c r="R118" i="1" s="1"/>
  <c r="I119" i="1"/>
  <c r="L119" i="1" s="1"/>
  <c r="G120" i="1"/>
  <c r="F121" i="1"/>
  <c r="D121" i="1"/>
  <c r="B123" i="1"/>
  <c r="C122" i="1"/>
  <c r="I120" i="1" l="1"/>
  <c r="H121" i="1"/>
  <c r="I121" i="1" s="1"/>
  <c r="K121" i="1" s="1"/>
  <c r="J119" i="1"/>
  <c r="K119" i="1"/>
  <c r="O119" i="1" s="1"/>
  <c r="N119" i="1"/>
  <c r="G121" i="1"/>
  <c r="J120" i="1"/>
  <c r="K120" i="1"/>
  <c r="L120" i="1"/>
  <c r="F122" i="1"/>
  <c r="D122" i="1"/>
  <c r="B124" i="1"/>
  <c r="C123" i="1"/>
  <c r="Q119" i="1" l="1"/>
  <c r="R119" i="1" s="1"/>
  <c r="P119" i="1"/>
  <c r="H122" i="1"/>
  <c r="O120" i="1"/>
  <c r="Q120" i="1"/>
  <c r="R120" i="1" s="1"/>
  <c r="P120" i="1"/>
  <c r="N120" i="1"/>
  <c r="L121" i="1"/>
  <c r="J121" i="1"/>
  <c r="D123" i="1"/>
  <c r="F123" i="1"/>
  <c r="B125" i="1"/>
  <c r="C124" i="1"/>
  <c r="G122" i="1"/>
  <c r="I122" i="1" l="1"/>
  <c r="L122" i="1" s="1"/>
  <c r="H123" i="1"/>
  <c r="O121" i="1"/>
  <c r="Q121" i="1"/>
  <c r="R121" i="1" s="1"/>
  <c r="N122" i="1"/>
  <c r="N121" i="1"/>
  <c r="K122" i="1"/>
  <c r="J122" i="1"/>
  <c r="P121" i="1"/>
  <c r="G123" i="1"/>
  <c r="F124" i="1"/>
  <c r="D124" i="1"/>
  <c r="B126" i="1"/>
  <c r="C125" i="1"/>
  <c r="O122" i="1" l="1"/>
  <c r="I123" i="1"/>
  <c r="H124" i="1"/>
  <c r="P122" i="1"/>
  <c r="Q122" i="1"/>
  <c r="R122" i="1" s="1"/>
  <c r="L123" i="1"/>
  <c r="J123" i="1"/>
  <c r="K123" i="1"/>
  <c r="F125" i="1"/>
  <c r="D125" i="1"/>
  <c r="B127" i="1"/>
  <c r="C126" i="1"/>
  <c r="G124" i="1"/>
  <c r="H125" i="1" l="1"/>
  <c r="O123" i="1"/>
  <c r="I124" i="1"/>
  <c r="K124" i="1" s="1"/>
  <c r="N123" i="1"/>
  <c r="P123" i="1"/>
  <c r="Q123" i="1"/>
  <c r="R123" i="1" s="1"/>
  <c r="I125" i="1"/>
  <c r="F126" i="1"/>
  <c r="D126" i="1"/>
  <c r="B128" i="1"/>
  <c r="C127" i="1"/>
  <c r="G125" i="1"/>
  <c r="H126" i="1" l="1"/>
  <c r="J124" i="1"/>
  <c r="L124" i="1"/>
  <c r="N124" i="1" s="1"/>
  <c r="P124" i="1"/>
  <c r="Q124" i="1"/>
  <c r="R124" i="1" s="1"/>
  <c r="I126" i="1"/>
  <c r="L126" i="1" s="1"/>
  <c r="K125" i="1"/>
  <c r="L125" i="1"/>
  <c r="J125" i="1"/>
  <c r="F127" i="1"/>
  <c r="D127" i="1"/>
  <c r="B129" i="1"/>
  <c r="C128" i="1"/>
  <c r="G126" i="1"/>
  <c r="O124" i="1" l="1"/>
  <c r="H127" i="1"/>
  <c r="I127" i="1" s="1"/>
  <c r="O125" i="1"/>
  <c r="N126" i="1"/>
  <c r="N125" i="1"/>
  <c r="Q125" i="1"/>
  <c r="R125" i="1" s="1"/>
  <c r="P125" i="1"/>
  <c r="J126" i="1"/>
  <c r="K126" i="1"/>
  <c r="F128" i="1"/>
  <c r="D128" i="1"/>
  <c r="B130" i="1"/>
  <c r="C129" i="1"/>
  <c r="G127" i="1"/>
  <c r="O126" i="1" l="1"/>
  <c r="H128" i="1"/>
  <c r="Q126" i="1"/>
  <c r="R126" i="1" s="1"/>
  <c r="P126" i="1"/>
  <c r="L127" i="1"/>
  <c r="K127" i="1"/>
  <c r="J127" i="1"/>
  <c r="F129" i="1"/>
  <c r="D129" i="1"/>
  <c r="B131" i="1"/>
  <c r="C130" i="1"/>
  <c r="G128" i="1"/>
  <c r="I128" i="1" l="1"/>
  <c r="H129" i="1"/>
  <c r="O127" i="1"/>
  <c r="N127" i="1"/>
  <c r="Q127" i="1"/>
  <c r="R127" i="1" s="1"/>
  <c r="P127" i="1"/>
  <c r="I129" i="1"/>
  <c r="K129" i="1" s="1"/>
  <c r="J128" i="1"/>
  <c r="K128" i="1"/>
  <c r="L128" i="1"/>
  <c r="F130" i="1"/>
  <c r="D130" i="1"/>
  <c r="B132" i="1"/>
  <c r="C131" i="1"/>
  <c r="G129" i="1"/>
  <c r="H130" i="1" l="1"/>
  <c r="O128" i="1"/>
  <c r="N128" i="1"/>
  <c r="Q128" i="1"/>
  <c r="R128" i="1" s="1"/>
  <c r="P128" i="1"/>
  <c r="L129" i="1"/>
  <c r="J129" i="1"/>
  <c r="G130" i="1"/>
  <c r="D131" i="1"/>
  <c r="F131" i="1"/>
  <c r="B133" i="1"/>
  <c r="C132" i="1"/>
  <c r="I130" i="1" l="1"/>
  <c r="H131" i="1"/>
  <c r="O129" i="1"/>
  <c r="P129" i="1"/>
  <c r="Q129" i="1"/>
  <c r="R129" i="1" s="1"/>
  <c r="N129" i="1"/>
  <c r="L130" i="1"/>
  <c r="K130" i="1"/>
  <c r="J130" i="1"/>
  <c r="G131" i="1"/>
  <c r="F132" i="1"/>
  <c r="D132" i="1"/>
  <c r="B134" i="1"/>
  <c r="C133" i="1"/>
  <c r="I131" i="1" l="1"/>
  <c r="H132" i="1"/>
  <c r="O130" i="1"/>
  <c r="P130" i="1"/>
  <c r="Q130" i="1"/>
  <c r="R130" i="1" s="1"/>
  <c r="N130" i="1"/>
  <c r="I132" i="1"/>
  <c r="L131" i="1"/>
  <c r="J131" i="1"/>
  <c r="K131" i="1"/>
  <c r="D133" i="1"/>
  <c r="F133" i="1"/>
  <c r="H133" i="1" s="1"/>
  <c r="B135" i="1"/>
  <c r="C134" i="1"/>
  <c r="G132" i="1"/>
  <c r="O131" i="1" l="1"/>
  <c r="N131" i="1"/>
  <c r="P131" i="1"/>
  <c r="Q131" i="1"/>
  <c r="R131" i="1" s="1"/>
  <c r="I133" i="1"/>
  <c r="K133" i="1" s="1"/>
  <c r="J132" i="1"/>
  <c r="L132" i="1"/>
  <c r="K132" i="1"/>
  <c r="D134" i="1"/>
  <c r="F134" i="1"/>
  <c r="B136" i="1"/>
  <c r="C135" i="1"/>
  <c r="G133" i="1"/>
  <c r="H134" i="1" l="1"/>
  <c r="O132" i="1"/>
  <c r="N132" i="1"/>
  <c r="P132" i="1"/>
  <c r="Q132" i="1"/>
  <c r="R132" i="1" s="1"/>
  <c r="J133" i="1"/>
  <c r="L133" i="1"/>
  <c r="F135" i="1"/>
  <c r="D135" i="1"/>
  <c r="B137" i="1"/>
  <c r="C136" i="1"/>
  <c r="G134" i="1"/>
  <c r="I134" i="1" l="1"/>
  <c r="L134" i="1" s="1"/>
  <c r="N134" i="1" s="1"/>
  <c r="H135" i="1"/>
  <c r="O133" i="1"/>
  <c r="P133" i="1"/>
  <c r="Q133" i="1"/>
  <c r="R133" i="1" s="1"/>
  <c r="N133" i="1"/>
  <c r="G135" i="1"/>
  <c r="J134" i="1"/>
  <c r="F136" i="1"/>
  <c r="D136" i="1"/>
  <c r="B138" i="1"/>
  <c r="C137" i="1"/>
  <c r="K134" i="1" l="1"/>
  <c r="O134" i="1" s="1"/>
  <c r="I135" i="1"/>
  <c r="H136" i="1"/>
  <c r="G136" i="1"/>
  <c r="K135" i="1"/>
  <c r="L135" i="1"/>
  <c r="J135" i="1"/>
  <c r="D137" i="1"/>
  <c r="F137" i="1"/>
  <c r="B139" i="1"/>
  <c r="C138" i="1"/>
  <c r="Q134" i="1" l="1"/>
  <c r="R134" i="1" s="1"/>
  <c r="P134" i="1"/>
  <c r="I136" i="1"/>
  <c r="H137" i="1"/>
  <c r="I137" i="1" s="1"/>
  <c r="K137" i="1" s="1"/>
  <c r="O135" i="1"/>
  <c r="N135" i="1"/>
  <c r="Q135" i="1"/>
  <c r="R135" i="1" s="1"/>
  <c r="P135" i="1"/>
  <c r="J136" i="1"/>
  <c r="K136" i="1"/>
  <c r="L136" i="1"/>
  <c r="F138" i="1"/>
  <c r="D138" i="1"/>
  <c r="B140" i="1"/>
  <c r="C139" i="1"/>
  <c r="G137" i="1"/>
  <c r="O136" i="1" l="1"/>
  <c r="H138" i="1"/>
  <c r="N136" i="1"/>
  <c r="Q136" i="1"/>
  <c r="R136" i="1" s="1"/>
  <c r="P136" i="1"/>
  <c r="L137" i="1"/>
  <c r="J137" i="1"/>
  <c r="G138" i="1"/>
  <c r="D139" i="1"/>
  <c r="F139" i="1"/>
  <c r="B141" i="1"/>
  <c r="C140" i="1"/>
  <c r="H139" i="1" l="1"/>
  <c r="O137" i="1"/>
  <c r="I138" i="1"/>
  <c r="J138" i="1" s="1"/>
  <c r="Q137" i="1"/>
  <c r="R137" i="1" s="1"/>
  <c r="N137" i="1"/>
  <c r="P137" i="1"/>
  <c r="L138" i="1"/>
  <c r="K138" i="1"/>
  <c r="F140" i="1"/>
  <c r="D140" i="1"/>
  <c r="B142" i="1"/>
  <c r="C141" i="1"/>
  <c r="G139" i="1"/>
  <c r="H140" i="1" l="1"/>
  <c r="O138" i="1"/>
  <c r="I139" i="1"/>
  <c r="J139" i="1" s="1"/>
  <c r="P138" i="1"/>
  <c r="Q138" i="1"/>
  <c r="R138" i="1" s="1"/>
  <c r="N138" i="1"/>
  <c r="G140" i="1"/>
  <c r="F141" i="1"/>
  <c r="D141" i="1"/>
  <c r="B143" i="1"/>
  <c r="C142" i="1"/>
  <c r="H141" i="1" l="1"/>
  <c r="L139" i="1"/>
  <c r="K139" i="1"/>
  <c r="Q139" i="1" s="1"/>
  <c r="R139" i="1" s="1"/>
  <c r="I140" i="1"/>
  <c r="K140" i="1" s="1"/>
  <c r="P139" i="1"/>
  <c r="G141" i="1"/>
  <c r="F142" i="1"/>
  <c r="D142" i="1"/>
  <c r="B144" i="1"/>
  <c r="C144" i="1" s="1"/>
  <c r="C143" i="1"/>
  <c r="H142" i="1" l="1"/>
  <c r="O139" i="1"/>
  <c r="N139" i="1"/>
  <c r="J140" i="1"/>
  <c r="L140" i="1"/>
  <c r="N140" i="1" s="1"/>
  <c r="I141" i="1"/>
  <c r="K141" i="1" s="1"/>
  <c r="G142" i="1"/>
  <c r="F144" i="1"/>
  <c r="D144" i="1"/>
  <c r="F143" i="1"/>
  <c r="D143" i="1"/>
  <c r="I142" i="1" l="1"/>
  <c r="L142" i="1" s="1"/>
  <c r="P140" i="1"/>
  <c r="H144" i="1"/>
  <c r="I144" i="1" s="1"/>
  <c r="K144" i="1" s="1"/>
  <c r="Q140" i="1"/>
  <c r="R140" i="1" s="1"/>
  <c r="H143" i="1"/>
  <c r="I143" i="1" s="1"/>
  <c r="O140" i="1"/>
  <c r="J141" i="1"/>
  <c r="L141" i="1"/>
  <c r="N141" i="1" s="1"/>
  <c r="G143" i="1"/>
  <c r="G144" i="1"/>
  <c r="J142" i="1" l="1"/>
  <c r="K142" i="1"/>
  <c r="O141" i="1"/>
  <c r="O142" i="1"/>
  <c r="Q141" i="1"/>
  <c r="R141" i="1" s="1"/>
  <c r="P141" i="1"/>
  <c r="L144" i="1"/>
  <c r="N142" i="1"/>
  <c r="J144" i="1"/>
  <c r="Q142" i="1"/>
  <c r="R142" i="1" s="1"/>
  <c r="P142" i="1"/>
  <c r="L143" i="1"/>
  <c r="K143" i="1"/>
  <c r="J143" i="1"/>
  <c r="Q144" i="1" l="1"/>
  <c r="R144" i="1" s="1"/>
  <c r="O144" i="1"/>
  <c r="O143" i="1"/>
  <c r="N144" i="1"/>
  <c r="Q143" i="1"/>
  <c r="R143" i="1" s="1"/>
  <c r="P143" i="1"/>
  <c r="P144" i="1"/>
  <c r="N143" i="1"/>
</calcChain>
</file>

<file path=xl/sharedStrings.xml><?xml version="1.0" encoding="utf-8"?>
<sst xmlns="http://schemas.openxmlformats.org/spreadsheetml/2006/main" count="78" uniqueCount="58">
  <si>
    <t>(mm)</t>
  </si>
  <si>
    <t xml:space="preserve">X  </t>
  </si>
  <si>
    <t xml:space="preserve">Y  </t>
  </si>
  <si>
    <t>B</t>
  </si>
  <si>
    <t>AD</t>
  </si>
  <si>
    <t>Longueurs leviers</t>
  </si>
  <si>
    <t>A</t>
  </si>
  <si>
    <t>(rad)</t>
  </si>
  <si>
    <t>( ° )</t>
  </si>
  <si>
    <t>Points dans rep.Oxy</t>
  </si>
  <si>
    <t>Do</t>
  </si>
  <si>
    <t>BA</t>
  </si>
  <si>
    <t>Coefficients de l' équation</t>
  </si>
  <si>
    <t>a1</t>
  </si>
  <si>
    <t>b1</t>
  </si>
  <si>
    <t>c1</t>
  </si>
  <si>
    <t>a^2+b^&gt;=c^2</t>
  </si>
  <si>
    <t>Test</t>
  </si>
  <si>
    <t>δfin
δ</t>
  </si>
  <si>
    <t>Course maxi du vérin</t>
  </si>
  <si>
    <t>Pour Max curseur</t>
  </si>
  <si>
    <t>Dans rep.Oxy</t>
  </si>
  <si>
    <t>Fv</t>
  </si>
  <si>
    <t>(N)</t>
  </si>
  <si>
    <t>Entrez vos valeurs dans les cellules jaunes (attention aux signes!)</t>
  </si>
  <si>
    <t>Pince ouverte - Cv = 0</t>
  </si>
  <si>
    <t>Force du vérin</t>
  </si>
  <si>
    <t>XRb</t>
  </si>
  <si>
    <t>XRc</t>
  </si>
  <si>
    <t>YRb</t>
  </si>
  <si>
    <t>Course vérin</t>
  </si>
  <si>
    <t>Yd</t>
  </si>
  <si>
    <t>θ</t>
  </si>
  <si>
    <t>δ</t>
  </si>
  <si>
    <t>Point A</t>
  </si>
  <si>
    <t>Point C</t>
  </si>
  <si>
    <t>Xa</t>
  </si>
  <si>
    <t>Ya</t>
  </si>
  <si>
    <t>Xc</t>
  </si>
  <si>
    <t>Yc</t>
  </si>
  <si>
    <t>Cc</t>
  </si>
  <si>
    <t>Course pt. C</t>
  </si>
  <si>
    <t>Cv</t>
  </si>
  <si>
    <t>Pos. Vérin</t>
  </si>
  <si>
    <t>Calcul des angles</t>
  </si>
  <si>
    <t>Efforts en B et en C</t>
  </si>
  <si>
    <t>Cinématique</t>
  </si>
  <si>
    <t>Statique</t>
  </si>
  <si>
    <t>Résolution des équations</t>
  </si>
  <si>
    <t xml:space="preserve">     -Fv/2*TAN(θ)+XRb+XRc=0</t>
  </si>
  <si>
    <t xml:space="preserve">     Fv/2+YRb+XRc*TAN(δ)=0</t>
  </si>
  <si>
    <t xml:space="preserve">     Fv/2*(Xa+Ya*TAN(θ))+Xb*YRb-Yb*XRb+Xc*TAN(δ)*XRc=0</t>
  </si>
  <si>
    <t>Equations fournies à MAXIMA</t>
  </si>
  <si>
    <t xml:space="preserve"> CvMax</t>
  </si>
  <si>
    <t>Fs</t>
  </si>
  <si>
    <t>Eff. serrage</t>
  </si>
  <si>
    <r>
      <t>Lorsque le F de la dernière ligne &gt; le F de la première ligne * 10000, on écrit "</t>
    </r>
    <r>
      <rPr>
        <sz val="11"/>
        <color rgb="FF0070C0"/>
        <rFont val="Calibri"/>
        <family val="2"/>
      </rPr>
      <t>ꚙ" et l'on ne prend pas en compte cette ligne dans le graphique</t>
    </r>
  </si>
  <si>
    <t>Calculs intermédiaires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</si>
</sst>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0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indexed="64"/>
      </bottom>
      <diagonal/>
    </border>
    <border>
      <left/>
      <right/>
      <top style="medium">
        <color rgb="FF0070C0"/>
      </top>
      <bottom style="thin">
        <color indexed="64"/>
      </bottom>
      <diagonal/>
    </border>
    <border>
      <left/>
      <right style="thin">
        <color indexed="64"/>
      </right>
      <top style="medium">
        <color rgb="FF0070C0"/>
      </top>
      <bottom style="thin">
        <color indexed="64"/>
      </bottom>
      <diagonal/>
    </border>
    <border>
      <left style="thin">
        <color indexed="64"/>
      </left>
      <right/>
      <top style="medium">
        <color rgb="FF0070C0"/>
      </top>
      <bottom style="thin">
        <color indexed="64"/>
      </bottom>
      <diagonal/>
    </border>
    <border>
      <left/>
      <right style="medium">
        <color rgb="FF0070C0"/>
      </right>
      <top style="medium">
        <color rgb="FF0070C0"/>
      </top>
      <bottom style="thin">
        <color indexed="64"/>
      </bottom>
      <diagonal/>
    </border>
    <border>
      <left style="medium">
        <color rgb="FF0070C0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medium">
        <color rgb="FF0070C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70C0"/>
      </right>
      <top style="thin">
        <color auto="1"/>
      </top>
      <bottom style="thin">
        <color theme="0" tint="-0.24994659260841701"/>
      </bottom>
      <diagonal/>
    </border>
    <border>
      <left style="medium">
        <color rgb="FF0070C0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medium">
        <color rgb="FF0070C0"/>
      </right>
      <top style="thin">
        <color theme="0" tint="-0.24994659260841701"/>
      </top>
      <bottom style="thin">
        <color auto="1"/>
      </bottom>
      <diagonal/>
    </border>
    <border>
      <left style="medium">
        <color rgb="FF0070C0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 style="medium">
        <color rgb="FF0070C0"/>
      </right>
      <top/>
      <bottom style="thin">
        <color theme="0" tint="-0.24994659260841701"/>
      </bottom>
      <diagonal/>
    </border>
    <border>
      <left style="medium">
        <color rgb="FF0070C0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rgb="FF0070C0"/>
      </left>
      <right style="thin">
        <color auto="1"/>
      </right>
      <top style="thin">
        <color theme="0" tint="-0.24994659260841701"/>
      </top>
      <bottom/>
      <diagonal/>
    </border>
    <border>
      <left style="medium">
        <color rgb="FF0070C0"/>
      </left>
      <right/>
      <top style="thin">
        <color indexed="64"/>
      </top>
      <bottom/>
      <diagonal/>
    </border>
    <border>
      <left/>
      <right style="medium">
        <color rgb="FF0070C0"/>
      </right>
      <top style="thin">
        <color indexed="64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0" xfId="0" applyBorder="1"/>
    <xf numFmtId="0" fontId="0" fillId="0" borderId="7" xfId="0" applyBorder="1"/>
    <xf numFmtId="164" fontId="0" fillId="0" borderId="0" xfId="0" applyNumberFormat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3" fillId="0" borderId="0" xfId="0" applyFont="1" applyBorder="1"/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2" fontId="0" fillId="7" borderId="2" xfId="0" applyNumberFormat="1" applyFill="1" applyBorder="1" applyAlignment="1">
      <alignment horizontal="center"/>
    </xf>
    <xf numFmtId="2" fontId="0" fillId="7" borderId="10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" xfId="0" applyFont="1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2" fontId="0" fillId="9" borderId="10" xfId="0" applyNumberFormat="1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164" fontId="0" fillId="9" borderId="10" xfId="0" applyNumberFormat="1" applyFill="1" applyBorder="1" applyAlignment="1">
      <alignment horizontal="center"/>
    </xf>
    <xf numFmtId="2" fontId="0" fillId="9" borderId="2" xfId="0" applyNumberForma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164" fontId="0" fillId="9" borderId="2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2" fontId="0" fillId="10" borderId="10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2" fontId="0" fillId="11" borderId="10" xfId="0" applyNumberFormat="1" applyFill="1" applyBorder="1" applyAlignment="1">
      <alignment horizontal="center"/>
    </xf>
    <xf numFmtId="2" fontId="0" fillId="6" borderId="10" xfId="0" applyNumberForma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0" borderId="6" xfId="0" applyBorder="1"/>
    <xf numFmtId="2" fontId="0" fillId="7" borderId="14" xfId="0" applyNumberFormat="1" applyFill="1" applyBorder="1" applyAlignment="1">
      <alignment horizontal="center"/>
    </xf>
    <xf numFmtId="2" fontId="0" fillId="9" borderId="14" xfId="0" applyNumberFormat="1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164" fontId="0" fillId="9" borderId="14" xfId="0" applyNumberFormat="1" applyFill="1" applyBorder="1" applyAlignment="1">
      <alignment horizontal="center"/>
    </xf>
    <xf numFmtId="2" fontId="0" fillId="10" borderId="8" xfId="0" applyNumberFormat="1" applyFill="1" applyBorder="1" applyAlignment="1">
      <alignment horizontal="center"/>
    </xf>
    <xf numFmtId="2" fontId="0" fillId="11" borderId="8" xfId="0" applyNumberFormat="1" applyFill="1" applyBorder="1" applyAlignment="1">
      <alignment horizontal="center"/>
    </xf>
    <xf numFmtId="2" fontId="0" fillId="6" borderId="8" xfId="0" applyNumberFormat="1" applyFill="1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0" fillId="4" borderId="10" xfId="0" applyNumberForma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4" fillId="0" borderId="0" xfId="0" applyFont="1" applyBorder="1" applyAlignment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20" xfId="0" applyBorder="1"/>
    <xf numFmtId="0" fontId="0" fillId="0" borderId="21" xfId="0" applyBorder="1"/>
    <xf numFmtId="0" fontId="0" fillId="0" borderId="21" xfId="0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10" borderId="29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0" fillId="10" borderId="32" xfId="0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2" fontId="0" fillId="10" borderId="34" xfId="0" applyNumberFormat="1" applyFill="1" applyBorder="1" applyAlignment="1">
      <alignment horizontal="center"/>
    </xf>
    <xf numFmtId="2" fontId="0" fillId="6" borderId="35" xfId="0" applyNumberFormat="1" applyFill="1" applyBorder="1" applyAlignment="1">
      <alignment horizontal="center"/>
    </xf>
    <xf numFmtId="2" fontId="0" fillId="6" borderId="36" xfId="0" applyNumberFormat="1" applyFill="1" applyBorder="1" applyAlignment="1">
      <alignment horizontal="center"/>
    </xf>
    <xf numFmtId="2" fontId="0" fillId="4" borderId="34" xfId="0" applyNumberFormat="1" applyFill="1" applyBorder="1" applyAlignment="1">
      <alignment horizontal="center"/>
    </xf>
    <xf numFmtId="0" fontId="0" fillId="0" borderId="37" xfId="0" applyBorder="1"/>
    <xf numFmtId="0" fontId="0" fillId="0" borderId="2" xfId="0" applyBorder="1" applyAlignment="1">
      <alignment horizontal="center"/>
    </xf>
    <xf numFmtId="164" fontId="0" fillId="8" borderId="10" xfId="0" applyNumberFormat="1" applyFill="1" applyBorder="1" applyAlignment="1">
      <alignment horizontal="center"/>
    </xf>
    <xf numFmtId="2" fontId="0" fillId="13" borderId="10" xfId="0" applyNumberFormat="1" applyFill="1" applyBorder="1" applyAlignment="1">
      <alignment horizontal="center"/>
    </xf>
    <xf numFmtId="2" fontId="0" fillId="14" borderId="10" xfId="0" applyNumberFormat="1" applyFill="1" applyBorder="1" applyAlignment="1">
      <alignment horizontal="center"/>
    </xf>
    <xf numFmtId="0" fontId="1" fillId="0" borderId="0" xfId="0" applyFont="1" applyBorder="1" applyAlignment="1"/>
    <xf numFmtId="43" fontId="0" fillId="0" borderId="0" xfId="1" applyFont="1" applyAlignment="1"/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18" xfId="0" quotePrefix="1" applyFont="1" applyBorder="1" applyAlignment="1"/>
    <xf numFmtId="0" fontId="3" fillId="0" borderId="19" xfId="0" applyFont="1" applyBorder="1"/>
    <xf numFmtId="0" fontId="0" fillId="0" borderId="22" xfId="0" applyBorder="1"/>
    <xf numFmtId="0" fontId="3" fillId="0" borderId="6" xfId="0" applyFont="1" applyBorder="1" applyAlignment="1">
      <alignment horizontal="justify" vertical="center" wrapText="1"/>
    </xf>
    <xf numFmtId="0" fontId="3" fillId="0" borderId="38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justify" vertical="center" wrapText="1"/>
    </xf>
    <xf numFmtId="0" fontId="3" fillId="0" borderId="22" xfId="0" applyFont="1" applyBorder="1" applyAlignment="1">
      <alignment horizontal="justify" vertical="center" wrapText="1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43" fontId="1" fillId="0" borderId="16" xfId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9" borderId="11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12" borderId="26" xfId="0" applyFont="1" applyFill="1" applyBorder="1" applyAlignment="1">
      <alignment horizontal="center"/>
    </xf>
    <xf numFmtId="0" fontId="1" fillId="12" borderId="24" xfId="0" applyFont="1" applyFill="1" applyBorder="1" applyAlignment="1">
      <alignment horizontal="center"/>
    </xf>
    <xf numFmtId="0" fontId="1" fillId="12" borderId="27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Course de C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547643767399553"/>
          <c:y val="0.18326379230412609"/>
          <c:w val="0.86524514803210861"/>
          <c:h val="0.61948645501370747"/>
        </c:manualLayout>
      </c:layout>
      <c:scatterChart>
        <c:scatterStyle val="lineMarker"/>
        <c:varyColors val="0"/>
        <c:ser>
          <c:idx val="0"/>
          <c:order val="0"/>
          <c:tx>
            <c:v>Course de C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Calculs!$B$45:$B$145</c:f>
              <c:numCache>
                <c:formatCode>0.00</c:formatCode>
                <c:ptCount val="101"/>
                <c:pt idx="0" formatCode="General">
                  <c:v>0</c:v>
                </c:pt>
                <c:pt idx="1">
                  <c:v>0.80285947903438515</c:v>
                </c:pt>
                <c:pt idx="2">
                  <c:v>1.6057189580687703</c:v>
                </c:pt>
                <c:pt idx="3">
                  <c:v>2.4085784371031553</c:v>
                </c:pt>
                <c:pt idx="4">
                  <c:v>3.2114379161375406</c:v>
                </c:pt>
                <c:pt idx="5">
                  <c:v>4.0142973951719254</c:v>
                </c:pt>
                <c:pt idx="6">
                  <c:v>4.8171568742063107</c:v>
                </c:pt>
                <c:pt idx="7">
                  <c:v>5.6200163532406959</c:v>
                </c:pt>
                <c:pt idx="8">
                  <c:v>6.4228758322750812</c:v>
                </c:pt>
                <c:pt idx="9">
                  <c:v>7.2257353113094664</c:v>
                </c:pt>
                <c:pt idx="10">
                  <c:v>8.0285947903438508</c:v>
                </c:pt>
                <c:pt idx="11">
                  <c:v>8.8314542693782361</c:v>
                </c:pt>
                <c:pt idx="12">
                  <c:v>9.6343137484126213</c:v>
                </c:pt>
                <c:pt idx="13">
                  <c:v>10.437173227447007</c:v>
                </c:pt>
                <c:pt idx="14">
                  <c:v>11.240032706481392</c:v>
                </c:pt>
                <c:pt idx="15">
                  <c:v>12.042892185515777</c:v>
                </c:pt>
                <c:pt idx="16">
                  <c:v>12.845751664550162</c:v>
                </c:pt>
                <c:pt idx="17">
                  <c:v>13.648611143584548</c:v>
                </c:pt>
                <c:pt idx="18">
                  <c:v>14.451470622618933</c:v>
                </c:pt>
                <c:pt idx="19">
                  <c:v>15.254330101653318</c:v>
                </c:pt>
                <c:pt idx="20">
                  <c:v>16.057189580687702</c:v>
                </c:pt>
                <c:pt idx="21">
                  <c:v>16.860049059722087</c:v>
                </c:pt>
                <c:pt idx="22">
                  <c:v>17.662908538756472</c:v>
                </c:pt>
                <c:pt idx="23">
                  <c:v>18.465768017790857</c:v>
                </c:pt>
                <c:pt idx="24">
                  <c:v>19.268627496825243</c:v>
                </c:pt>
                <c:pt idx="25">
                  <c:v>20.071486975859628</c:v>
                </c:pt>
                <c:pt idx="26">
                  <c:v>20.874346454894013</c:v>
                </c:pt>
                <c:pt idx="27">
                  <c:v>21.677205933928398</c:v>
                </c:pt>
                <c:pt idx="28">
                  <c:v>22.480065412962784</c:v>
                </c:pt>
                <c:pt idx="29">
                  <c:v>23.282924891997169</c:v>
                </c:pt>
                <c:pt idx="30">
                  <c:v>24.085784371031554</c:v>
                </c:pt>
                <c:pt idx="31">
                  <c:v>24.888643850065939</c:v>
                </c:pt>
                <c:pt idx="32">
                  <c:v>25.691503329100325</c:v>
                </c:pt>
                <c:pt idx="33">
                  <c:v>26.49436280813471</c:v>
                </c:pt>
                <c:pt idx="34">
                  <c:v>27.297222287169095</c:v>
                </c:pt>
                <c:pt idx="35">
                  <c:v>28.100081766203481</c:v>
                </c:pt>
                <c:pt idx="36">
                  <c:v>28.902941245237866</c:v>
                </c:pt>
                <c:pt idx="37">
                  <c:v>29.705800724272251</c:v>
                </c:pt>
                <c:pt idx="38">
                  <c:v>30.508660203306636</c:v>
                </c:pt>
                <c:pt idx="39">
                  <c:v>31.311519682341022</c:v>
                </c:pt>
                <c:pt idx="40">
                  <c:v>32.114379161375403</c:v>
                </c:pt>
                <c:pt idx="41">
                  <c:v>32.917238640409785</c:v>
                </c:pt>
                <c:pt idx="42">
                  <c:v>33.720098119444167</c:v>
                </c:pt>
                <c:pt idx="43">
                  <c:v>34.522957598478548</c:v>
                </c:pt>
                <c:pt idx="44">
                  <c:v>35.32581707751293</c:v>
                </c:pt>
                <c:pt idx="45">
                  <c:v>36.128676556547312</c:v>
                </c:pt>
                <c:pt idx="46">
                  <c:v>36.931536035581694</c:v>
                </c:pt>
                <c:pt idx="47">
                  <c:v>37.734395514616075</c:v>
                </c:pt>
                <c:pt idx="48">
                  <c:v>38.537254993650457</c:v>
                </c:pt>
                <c:pt idx="49">
                  <c:v>39.340114472684839</c:v>
                </c:pt>
                <c:pt idx="50">
                  <c:v>40.14297395171922</c:v>
                </c:pt>
                <c:pt idx="51">
                  <c:v>40.945833430753602</c:v>
                </c:pt>
                <c:pt idx="52">
                  <c:v>41.748692909787984</c:v>
                </c:pt>
                <c:pt idx="53">
                  <c:v>42.551552388822365</c:v>
                </c:pt>
                <c:pt idx="54">
                  <c:v>43.354411867856747</c:v>
                </c:pt>
                <c:pt idx="55">
                  <c:v>44.157271346891129</c:v>
                </c:pt>
                <c:pt idx="56">
                  <c:v>44.960130825925511</c:v>
                </c:pt>
                <c:pt idx="57">
                  <c:v>45.762990304959892</c:v>
                </c:pt>
                <c:pt idx="58">
                  <c:v>46.565849783994274</c:v>
                </c:pt>
                <c:pt idx="59">
                  <c:v>47.368709263028656</c:v>
                </c:pt>
                <c:pt idx="60">
                  <c:v>48.171568742063037</c:v>
                </c:pt>
                <c:pt idx="61">
                  <c:v>48.974428221097419</c:v>
                </c:pt>
                <c:pt idx="62">
                  <c:v>49.777287700131801</c:v>
                </c:pt>
                <c:pt idx="63">
                  <c:v>50.580147179166183</c:v>
                </c:pt>
                <c:pt idx="64">
                  <c:v>51.383006658200564</c:v>
                </c:pt>
                <c:pt idx="65">
                  <c:v>52.185866137234946</c:v>
                </c:pt>
                <c:pt idx="66">
                  <c:v>52.988725616269328</c:v>
                </c:pt>
                <c:pt idx="67">
                  <c:v>53.791585095303709</c:v>
                </c:pt>
                <c:pt idx="68">
                  <c:v>54.594444574338091</c:v>
                </c:pt>
                <c:pt idx="69">
                  <c:v>55.397304053372473</c:v>
                </c:pt>
                <c:pt idx="70">
                  <c:v>56.200163532406854</c:v>
                </c:pt>
                <c:pt idx="71">
                  <c:v>57.003023011441236</c:v>
                </c:pt>
                <c:pt idx="72">
                  <c:v>57.805882490475618</c:v>
                </c:pt>
                <c:pt idx="73">
                  <c:v>58.60874196951</c:v>
                </c:pt>
                <c:pt idx="74">
                  <c:v>59.411601448544381</c:v>
                </c:pt>
                <c:pt idx="75">
                  <c:v>60.214460927578763</c:v>
                </c:pt>
                <c:pt idx="76">
                  <c:v>61.017320406613145</c:v>
                </c:pt>
                <c:pt idx="77">
                  <c:v>61.820179885647526</c:v>
                </c:pt>
                <c:pt idx="78">
                  <c:v>62.623039364681908</c:v>
                </c:pt>
                <c:pt idx="79">
                  <c:v>63.42589884371629</c:v>
                </c:pt>
                <c:pt idx="80">
                  <c:v>64.228758322750679</c:v>
                </c:pt>
                <c:pt idx="81">
                  <c:v>65.03161780178506</c:v>
                </c:pt>
                <c:pt idx="82">
                  <c:v>65.834477280819442</c:v>
                </c:pt>
                <c:pt idx="83">
                  <c:v>66.637336759853824</c:v>
                </c:pt>
                <c:pt idx="84">
                  <c:v>67.440196238888205</c:v>
                </c:pt>
                <c:pt idx="85">
                  <c:v>68.243055717922587</c:v>
                </c:pt>
                <c:pt idx="86">
                  <c:v>69.045915196956969</c:v>
                </c:pt>
                <c:pt idx="87">
                  <c:v>69.848774675991351</c:v>
                </c:pt>
                <c:pt idx="88">
                  <c:v>70.651634155025732</c:v>
                </c:pt>
                <c:pt idx="89">
                  <c:v>71.454493634060114</c:v>
                </c:pt>
                <c:pt idx="90">
                  <c:v>72.257353113094496</c:v>
                </c:pt>
                <c:pt idx="91">
                  <c:v>73.060212592128877</c:v>
                </c:pt>
                <c:pt idx="92">
                  <c:v>73.863072071163259</c:v>
                </c:pt>
                <c:pt idx="93">
                  <c:v>74.665931550197641</c:v>
                </c:pt>
                <c:pt idx="94">
                  <c:v>75.468791029232023</c:v>
                </c:pt>
                <c:pt idx="95">
                  <c:v>76.271650508266404</c:v>
                </c:pt>
                <c:pt idx="96">
                  <c:v>77.074509987300786</c:v>
                </c:pt>
                <c:pt idx="97">
                  <c:v>77.877369466335168</c:v>
                </c:pt>
                <c:pt idx="98">
                  <c:v>78.680228945369549</c:v>
                </c:pt>
                <c:pt idx="99">
                  <c:v>79.483088424403931</c:v>
                </c:pt>
                <c:pt idx="100">
                  <c:v>80.285947903438512</c:v>
                </c:pt>
              </c:numCache>
            </c:numRef>
          </c:xVal>
          <c:yVal>
            <c:numRef>
              <c:f>Calculs!$N$45:$N$145</c:f>
              <c:numCache>
                <c:formatCode>0.00</c:formatCode>
                <c:ptCount val="101"/>
                <c:pt idx="0">
                  <c:v>0</c:v>
                </c:pt>
                <c:pt idx="1">
                  <c:v>0.51721788694294446</c:v>
                </c:pt>
                <c:pt idx="2">
                  <c:v>1.0254959997450044</c:v>
                </c:pt>
                <c:pt idx="3">
                  <c:v>1.5250461452115758</c:v>
                </c:pt>
                <c:pt idx="4">
                  <c:v>2.0160694314908483</c:v>
                </c:pt>
                <c:pt idx="5">
                  <c:v>2.4987569771254243</c:v>
                </c:pt>
                <c:pt idx="6">
                  <c:v>2.9732905600670563</c:v>
                </c:pt>
                <c:pt idx="7">
                  <c:v>3.4398432127561875</c:v>
                </c:pt>
                <c:pt idx="8">
                  <c:v>3.8985797686478634</c:v>
                </c:pt>
                <c:pt idx="9">
                  <c:v>4.3496573649422032</c:v>
                </c:pt>
                <c:pt idx="10">
                  <c:v>4.7932259057343742</c:v>
                </c:pt>
                <c:pt idx="11">
                  <c:v>5.2294284893293366</c:v>
                </c:pt>
                <c:pt idx="12">
                  <c:v>5.658401803052385</c:v>
                </c:pt>
                <c:pt idx="13">
                  <c:v>6.0802764885282272</c:v>
                </c:pt>
                <c:pt idx="14">
                  <c:v>6.4951774800827877</c:v>
                </c:pt>
                <c:pt idx="15">
                  <c:v>6.9032243186471476</c:v>
                </c:pt>
                <c:pt idx="16">
                  <c:v>7.3045314432944224</c:v>
                </c:pt>
                <c:pt idx="17">
                  <c:v>7.6992084623273342</c:v>
                </c:pt>
                <c:pt idx="18">
                  <c:v>8.0873604056415047</c:v>
                </c:pt>
                <c:pt idx="19">
                  <c:v>8.4690879599192499</c:v>
                </c:pt>
                <c:pt idx="20">
                  <c:v>8.8444876880600987</c:v>
                </c:pt>
                <c:pt idx="21">
                  <c:v>9.2136522341181433</c:v>
                </c:pt>
                <c:pt idx="22">
                  <c:v>9.5766705148976712</c:v>
                </c:pt>
                <c:pt idx="23">
                  <c:v>9.9336278992529401</c:v>
                </c:pt>
                <c:pt idx="24">
                  <c:v>10.284606376040131</c:v>
                </c:pt>
                <c:pt idx="25">
                  <c:v>10.629684711586123</c:v>
                </c:pt>
                <c:pt idx="26">
                  <c:v>10.968938597461545</c:v>
                </c:pt>
                <c:pt idx="27">
                  <c:v>11.30244078927538</c:v>
                </c:pt>
                <c:pt idx="28">
                  <c:v>11.630261237147977</c:v>
                </c:pt>
                <c:pt idx="29">
                  <c:v>11.952467208462366</c:v>
                </c:pt>
                <c:pt idx="30">
                  <c:v>12.269123403444212</c:v>
                </c:pt>
                <c:pt idx="31">
                  <c:v>12.58029206407258</c:v>
                </c:pt>
                <c:pt idx="32">
                  <c:v>12.886033076786674</c:v>
                </c:pt>
                <c:pt idx="33">
                  <c:v>13.186404069411424</c:v>
                </c:pt>
                <c:pt idx="34">
                  <c:v>13.481460502695114</c:v>
                </c:pt>
                <c:pt idx="35">
                  <c:v>13.771255756817538</c:v>
                </c:pt>
                <c:pt idx="36">
                  <c:v>14.055841213202399</c:v>
                </c:pt>
                <c:pt idx="37">
                  <c:v>14.335266331939266</c:v>
                </c:pt>
                <c:pt idx="38">
                  <c:v>14.609578725099794</c:v>
                </c:pt>
                <c:pt idx="39">
                  <c:v>14.878824226208224</c:v>
                </c:pt>
                <c:pt idx="40">
                  <c:v>15.14304695611068</c:v>
                </c:pt>
                <c:pt idx="41">
                  <c:v>15.402289385466446</c:v>
                </c:pt>
                <c:pt idx="42">
                  <c:v>15.656592394069889</c:v>
                </c:pt>
                <c:pt idx="43">
                  <c:v>15.905995327196848</c:v>
                </c:pt>
                <c:pt idx="44">
                  <c:v>16.150536049154624</c:v>
                </c:pt>
                <c:pt idx="45">
                  <c:v>16.390250994202773</c:v>
                </c:pt>
                <c:pt idx="46">
                  <c:v>16.625175214999899</c:v>
                </c:pt>
                <c:pt idx="47">
                  <c:v>16.855342428721855</c:v>
                </c:pt>
                <c:pt idx="48">
                  <c:v>17.080785060985107</c:v>
                </c:pt>
                <c:pt idx="49">
                  <c:v>17.301534287702793</c:v>
                </c:pt>
                <c:pt idx="50">
                  <c:v>17.517620074988969</c:v>
                </c:pt>
                <c:pt idx="51">
                  <c:v>17.729071217222724</c:v>
                </c:pt>
                <c:pt idx="52">
                  <c:v>17.935915373373405</c:v>
                </c:pt>
                <c:pt idx="53">
                  <c:v>18.138179101683875</c:v>
                </c:pt>
                <c:pt idx="54">
                  <c:v>18.335887892801082</c:v>
                </c:pt>
                <c:pt idx="55">
                  <c:v>18.529066201439008</c:v>
                </c:pt>
                <c:pt idx="56">
                  <c:v>18.717737476652161</c:v>
                </c:pt>
                <c:pt idx="57">
                  <c:v>18.901924190794375</c:v>
                </c:pt>
                <c:pt idx="58">
                  <c:v>19.081647867232192</c:v>
                </c:pt>
                <c:pt idx="59">
                  <c:v>19.256929106878573</c:v>
                </c:pt>
                <c:pt idx="60">
                  <c:v>19.427787613608274</c:v>
                </c:pt>
                <c:pt idx="61">
                  <c:v>19.594242218612749</c:v>
                </c:pt>
                <c:pt idx="62">
                  <c:v>19.756310903749608</c:v>
                </c:pt>
                <c:pt idx="63">
                  <c:v>19.914010823936792</c:v>
                </c:pt>
                <c:pt idx="64">
                  <c:v>20.067358328641546</c:v>
                </c:pt>
                <c:pt idx="65">
                  <c:v>20.216368982508698</c:v>
                </c:pt>
                <c:pt idx="66">
                  <c:v>20.361057585171636</c:v>
                </c:pt>
                <c:pt idx="67">
                  <c:v>20.501438190286962</c:v>
                </c:pt>
                <c:pt idx="68">
                  <c:v>20.637524123831355</c:v>
                </c:pt>
                <c:pt idx="69">
                  <c:v>20.769328001697005</c:v>
                </c:pt>
                <c:pt idx="70">
                  <c:v>20.896861746619834</c:v>
                </c:pt>
                <c:pt idx="71">
                  <c:v>21.020136604473691</c:v>
                </c:pt>
                <c:pt idx="72">
                  <c:v>21.139163159961441</c:v>
                </c:pt>
                <c:pt idx="73">
                  <c:v>21.2539513517317</c:v>
                </c:pt>
                <c:pt idx="74">
                  <c:v>21.364510486950223</c:v>
                </c:pt>
                <c:pt idx="75">
                  <c:v>21.470849255350998</c:v>
                </c:pt>
                <c:pt idx="76">
                  <c:v>21.572975742793602</c:v>
                </c:pt>
                <c:pt idx="77">
                  <c:v>21.670897444350061</c:v>
                </c:pt>
                <c:pt idx="78">
                  <c:v>21.7646212769437</c:v>
                </c:pt>
                <c:pt idx="79">
                  <c:v>21.854153591562408</c:v>
                </c:pt>
                <c:pt idx="80">
                  <c:v>21.939500185066635</c:v>
                </c:pt>
                <c:pt idx="81">
                  <c:v>22.02066631161145</c:v>
                </c:pt>
                <c:pt idx="82">
                  <c:v>22.097656693702334</c:v>
                </c:pt>
                <c:pt idx="83">
                  <c:v>22.170475532901918</c:v>
                </c:pt>
                <c:pt idx="84">
                  <c:v>22.239126520204934</c:v>
                </c:pt>
                <c:pt idx="85">
                  <c:v>22.303612846098247</c:v>
                </c:pt>
                <c:pt idx="86">
                  <c:v>22.363937210321438</c:v>
                </c:pt>
                <c:pt idx="87">
                  <c:v>22.420101831342464</c:v>
                </c:pt>
                <c:pt idx="88">
                  <c:v>22.472108455563898</c:v>
                </c:pt>
                <c:pt idx="89">
                  <c:v>22.519958366272391</c:v>
                </c:pt>
                <c:pt idx="90">
                  <c:v>22.563652392345972</c:v>
                </c:pt>
                <c:pt idx="91">
                  <c:v>22.603190916730341</c:v>
                </c:pt>
                <c:pt idx="92">
                  <c:v>22.638573884697905</c:v>
                </c:pt>
                <c:pt idx="93">
                  <c:v>22.669800811900615</c:v>
                </c:pt>
                <c:pt idx="94">
                  <c:v>22.696870792228054</c:v>
                </c:pt>
                <c:pt idx="95">
                  <c:v>22.719782505481987</c:v>
                </c:pt>
                <c:pt idx="96">
                  <c:v>22.738534224877526</c:v>
                </c:pt>
                <c:pt idx="97">
                  <c:v>22.753123824381561</c:v>
                </c:pt>
                <c:pt idx="98">
                  <c:v>22.763548785898251</c:v>
                </c:pt>
                <c:pt idx="99">
                  <c:v>22.769806206310818</c:v>
                </c:pt>
                <c:pt idx="100">
                  <c:v>22.771892804389125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402112"/>
        <c:axId val="242435200"/>
      </c:scatterChart>
      <c:valAx>
        <c:axId val="25340211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Course du vérin  (Cv)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242435200"/>
        <c:crosses val="autoZero"/>
        <c:crossBetween val="midCat"/>
      </c:valAx>
      <c:valAx>
        <c:axId val="2424352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Course point C  (Cc)</a:t>
                </a:r>
              </a:p>
            </c:rich>
          </c:tx>
          <c:layout>
            <c:manualLayout>
              <c:xMode val="edge"/>
              <c:yMode val="edge"/>
              <c:x val="3.6950602878257487E-2"/>
              <c:y val="0.2920679421331026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253402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Effort de serrage Fs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Effort de serrage Fs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Calculs!$B$45:$B$144</c:f>
              <c:numCache>
                <c:formatCode>0.00</c:formatCode>
                <c:ptCount val="100"/>
                <c:pt idx="0" formatCode="General">
                  <c:v>0</c:v>
                </c:pt>
                <c:pt idx="1">
                  <c:v>0.80285947903438515</c:v>
                </c:pt>
                <c:pt idx="2">
                  <c:v>1.6057189580687703</c:v>
                </c:pt>
                <c:pt idx="3">
                  <c:v>2.4085784371031553</c:v>
                </c:pt>
                <c:pt idx="4">
                  <c:v>3.2114379161375406</c:v>
                </c:pt>
                <c:pt idx="5">
                  <c:v>4.0142973951719254</c:v>
                </c:pt>
                <c:pt idx="6">
                  <c:v>4.8171568742063107</c:v>
                </c:pt>
                <c:pt idx="7">
                  <c:v>5.6200163532406959</c:v>
                </c:pt>
                <c:pt idx="8">
                  <c:v>6.4228758322750812</c:v>
                </c:pt>
                <c:pt idx="9">
                  <c:v>7.2257353113094664</c:v>
                </c:pt>
                <c:pt idx="10">
                  <c:v>8.0285947903438508</c:v>
                </c:pt>
                <c:pt idx="11">
                  <c:v>8.8314542693782361</c:v>
                </c:pt>
                <c:pt idx="12">
                  <c:v>9.6343137484126213</c:v>
                </c:pt>
                <c:pt idx="13">
                  <c:v>10.437173227447007</c:v>
                </c:pt>
                <c:pt idx="14">
                  <c:v>11.240032706481392</c:v>
                </c:pt>
                <c:pt idx="15">
                  <c:v>12.042892185515777</c:v>
                </c:pt>
                <c:pt idx="16">
                  <c:v>12.845751664550162</c:v>
                </c:pt>
                <c:pt idx="17">
                  <c:v>13.648611143584548</c:v>
                </c:pt>
                <c:pt idx="18">
                  <c:v>14.451470622618933</c:v>
                </c:pt>
                <c:pt idx="19">
                  <c:v>15.254330101653318</c:v>
                </c:pt>
                <c:pt idx="20">
                  <c:v>16.057189580687702</c:v>
                </c:pt>
                <c:pt idx="21">
                  <c:v>16.860049059722087</c:v>
                </c:pt>
                <c:pt idx="22">
                  <c:v>17.662908538756472</c:v>
                </c:pt>
                <c:pt idx="23">
                  <c:v>18.465768017790857</c:v>
                </c:pt>
                <c:pt idx="24">
                  <c:v>19.268627496825243</c:v>
                </c:pt>
                <c:pt idx="25">
                  <c:v>20.071486975859628</c:v>
                </c:pt>
                <c:pt idx="26">
                  <c:v>20.874346454894013</c:v>
                </c:pt>
                <c:pt idx="27">
                  <c:v>21.677205933928398</c:v>
                </c:pt>
                <c:pt idx="28">
                  <c:v>22.480065412962784</c:v>
                </c:pt>
                <c:pt idx="29">
                  <c:v>23.282924891997169</c:v>
                </c:pt>
                <c:pt idx="30">
                  <c:v>24.085784371031554</c:v>
                </c:pt>
                <c:pt idx="31">
                  <c:v>24.888643850065939</c:v>
                </c:pt>
                <c:pt idx="32">
                  <c:v>25.691503329100325</c:v>
                </c:pt>
                <c:pt idx="33">
                  <c:v>26.49436280813471</c:v>
                </c:pt>
                <c:pt idx="34">
                  <c:v>27.297222287169095</c:v>
                </c:pt>
                <c:pt idx="35">
                  <c:v>28.100081766203481</c:v>
                </c:pt>
                <c:pt idx="36">
                  <c:v>28.902941245237866</c:v>
                </c:pt>
                <c:pt idx="37">
                  <c:v>29.705800724272251</c:v>
                </c:pt>
                <c:pt idx="38">
                  <c:v>30.508660203306636</c:v>
                </c:pt>
                <c:pt idx="39">
                  <c:v>31.311519682341022</c:v>
                </c:pt>
                <c:pt idx="40">
                  <c:v>32.114379161375403</c:v>
                </c:pt>
                <c:pt idx="41">
                  <c:v>32.917238640409785</c:v>
                </c:pt>
                <c:pt idx="42">
                  <c:v>33.720098119444167</c:v>
                </c:pt>
                <c:pt idx="43">
                  <c:v>34.522957598478548</c:v>
                </c:pt>
                <c:pt idx="44">
                  <c:v>35.32581707751293</c:v>
                </c:pt>
                <c:pt idx="45">
                  <c:v>36.128676556547312</c:v>
                </c:pt>
                <c:pt idx="46">
                  <c:v>36.931536035581694</c:v>
                </c:pt>
                <c:pt idx="47">
                  <c:v>37.734395514616075</c:v>
                </c:pt>
                <c:pt idx="48">
                  <c:v>38.537254993650457</c:v>
                </c:pt>
                <c:pt idx="49">
                  <c:v>39.340114472684839</c:v>
                </c:pt>
                <c:pt idx="50">
                  <c:v>40.14297395171922</c:v>
                </c:pt>
                <c:pt idx="51">
                  <c:v>40.945833430753602</c:v>
                </c:pt>
                <c:pt idx="52">
                  <c:v>41.748692909787984</c:v>
                </c:pt>
                <c:pt idx="53">
                  <c:v>42.551552388822365</c:v>
                </c:pt>
                <c:pt idx="54">
                  <c:v>43.354411867856747</c:v>
                </c:pt>
                <c:pt idx="55">
                  <c:v>44.157271346891129</c:v>
                </c:pt>
                <c:pt idx="56">
                  <c:v>44.960130825925511</c:v>
                </c:pt>
                <c:pt idx="57">
                  <c:v>45.762990304959892</c:v>
                </c:pt>
                <c:pt idx="58">
                  <c:v>46.565849783994274</c:v>
                </c:pt>
                <c:pt idx="59">
                  <c:v>47.368709263028656</c:v>
                </c:pt>
                <c:pt idx="60">
                  <c:v>48.171568742063037</c:v>
                </c:pt>
                <c:pt idx="61">
                  <c:v>48.974428221097419</c:v>
                </c:pt>
                <c:pt idx="62">
                  <c:v>49.777287700131801</c:v>
                </c:pt>
                <c:pt idx="63">
                  <c:v>50.580147179166183</c:v>
                </c:pt>
                <c:pt idx="64">
                  <c:v>51.383006658200564</c:v>
                </c:pt>
                <c:pt idx="65">
                  <c:v>52.185866137234946</c:v>
                </c:pt>
                <c:pt idx="66">
                  <c:v>52.988725616269328</c:v>
                </c:pt>
                <c:pt idx="67">
                  <c:v>53.791585095303709</c:v>
                </c:pt>
                <c:pt idx="68">
                  <c:v>54.594444574338091</c:v>
                </c:pt>
                <c:pt idx="69">
                  <c:v>55.397304053372473</c:v>
                </c:pt>
                <c:pt idx="70">
                  <c:v>56.200163532406854</c:v>
                </c:pt>
                <c:pt idx="71">
                  <c:v>57.003023011441236</c:v>
                </c:pt>
                <c:pt idx="72">
                  <c:v>57.805882490475618</c:v>
                </c:pt>
                <c:pt idx="73">
                  <c:v>58.60874196951</c:v>
                </c:pt>
                <c:pt idx="74">
                  <c:v>59.411601448544381</c:v>
                </c:pt>
                <c:pt idx="75">
                  <c:v>60.214460927578763</c:v>
                </c:pt>
                <c:pt idx="76">
                  <c:v>61.017320406613145</c:v>
                </c:pt>
                <c:pt idx="77">
                  <c:v>61.820179885647526</c:v>
                </c:pt>
                <c:pt idx="78">
                  <c:v>62.623039364681908</c:v>
                </c:pt>
                <c:pt idx="79">
                  <c:v>63.42589884371629</c:v>
                </c:pt>
                <c:pt idx="80">
                  <c:v>64.228758322750679</c:v>
                </c:pt>
                <c:pt idx="81">
                  <c:v>65.03161780178506</c:v>
                </c:pt>
                <c:pt idx="82">
                  <c:v>65.834477280819442</c:v>
                </c:pt>
                <c:pt idx="83">
                  <c:v>66.637336759853824</c:v>
                </c:pt>
                <c:pt idx="84">
                  <c:v>67.440196238888205</c:v>
                </c:pt>
                <c:pt idx="85">
                  <c:v>68.243055717922587</c:v>
                </c:pt>
                <c:pt idx="86">
                  <c:v>69.045915196956969</c:v>
                </c:pt>
                <c:pt idx="87">
                  <c:v>69.848774675991351</c:v>
                </c:pt>
                <c:pt idx="88">
                  <c:v>70.651634155025732</c:v>
                </c:pt>
                <c:pt idx="89">
                  <c:v>71.454493634060114</c:v>
                </c:pt>
                <c:pt idx="90">
                  <c:v>72.257353113094496</c:v>
                </c:pt>
                <c:pt idx="91">
                  <c:v>73.060212592128877</c:v>
                </c:pt>
                <c:pt idx="92">
                  <c:v>73.863072071163259</c:v>
                </c:pt>
                <c:pt idx="93">
                  <c:v>74.665931550197641</c:v>
                </c:pt>
                <c:pt idx="94">
                  <c:v>75.468791029232023</c:v>
                </c:pt>
                <c:pt idx="95">
                  <c:v>76.271650508266404</c:v>
                </c:pt>
                <c:pt idx="96">
                  <c:v>77.074509987300786</c:v>
                </c:pt>
                <c:pt idx="97">
                  <c:v>77.877369466335168</c:v>
                </c:pt>
                <c:pt idx="98">
                  <c:v>78.680228945369549</c:v>
                </c:pt>
                <c:pt idx="99">
                  <c:v>79.483088424403931</c:v>
                </c:pt>
              </c:numCache>
            </c:numRef>
          </c:xVal>
          <c:yVal>
            <c:numRef>
              <c:f>Calculs!$R$45:$R$144</c:f>
              <c:numCache>
                <c:formatCode>0.00</c:formatCode>
                <c:ptCount val="100"/>
                <c:pt idx="0">
                  <c:v>-76.258918527120088</c:v>
                </c:pt>
                <c:pt idx="1">
                  <c:v>-77.658348387021192</c:v>
                </c:pt>
                <c:pt idx="2">
                  <c:v>-79.070878737788576</c:v>
                </c:pt>
                <c:pt idx="3">
                  <c:v>-80.497280107558481</c:v>
                </c:pt>
                <c:pt idx="4">
                  <c:v>-81.938341379315133</c:v>
                </c:pt>
                <c:pt idx="5">
                  <c:v>-83.39487159301099</c:v>
                </c:pt>
                <c:pt idx="6">
                  <c:v>-84.867701793835991</c:v>
                </c:pt>
                <c:pt idx="7">
                  <c:v>-86.357686937063178</c:v>
                </c:pt>
                <c:pt idx="8">
                  <c:v>-87.86570785998255</c:v>
                </c:pt>
                <c:pt idx="9">
                  <c:v>-89.392673331642641</c:v>
                </c:pt>
                <c:pt idx="10">
                  <c:v>-90.93952219143398</c:v>
                </c:pt>
                <c:pt idx="11">
                  <c:v>-92.507225587989652</c:v>
                </c:pt>
                <c:pt idx="12">
                  <c:v>-94.096789330423078</c:v>
                </c:pt>
                <c:pt idx="13">
                  <c:v>-95.709256364593273</c:v>
                </c:pt>
                <c:pt idx="14">
                  <c:v>-97.345709387878884</c:v>
                </c:pt>
                <c:pt idx="15">
                  <c:v>-99.007273616870762</c:v>
                </c:pt>
                <c:pt idx="16">
                  <c:v>-100.69511972344588</c:v>
                </c:pt>
                <c:pt idx="17">
                  <c:v>-102.41046695591169</c:v>
                </c:pt>
                <c:pt idx="18">
                  <c:v>-104.15458646328393</c:v>
                </c:pt>
                <c:pt idx="19">
                  <c:v>-105.92880484232148</c:v>
                </c:pt>
                <c:pt idx="20">
                  <c:v>-107.73450792870928</c:v>
                </c:pt>
                <c:pt idx="21">
                  <c:v>-109.57314485576129</c:v>
                </c:pt>
                <c:pt idx="22">
                  <c:v>-111.44623240624983</c:v>
                </c:pt>
                <c:pt idx="23">
                  <c:v>-113.35535968548596</c:v>
                </c:pt>
                <c:pt idx="24">
                  <c:v>-115.3021931465894</c:v>
                </c:pt>
                <c:pt idx="25">
                  <c:v>-117.28848200207861</c:v>
                </c:pt>
                <c:pt idx="26">
                  <c:v>-119.31606405948236</c:v>
                </c:pt>
                <c:pt idx="27">
                  <c:v>-121.38687202270322</c:v>
                </c:pt>
                <c:pt idx="28">
                  <c:v>-123.50294030541443</c:v>
                </c:pt>
                <c:pt idx="29">
                  <c:v>-125.66641240789372</c:v>
                </c:pt>
                <c:pt idx="30">
                  <c:v>-127.87954891450501</c:v>
                </c:pt>
                <c:pt idx="31">
                  <c:v>-130.14473617558204</c:v>
                </c:pt>
                <c:pt idx="32">
                  <c:v>-132.46449574492996</c:v>
                </c:pt>
                <c:pt idx="33">
                  <c:v>-134.84149465257667</c:v>
                </c:pt>
                <c:pt idx="34">
                  <c:v>-137.27855660202286</c:v>
                </c:pt>
                <c:pt idx="35">
                  <c:v>-139.7786741921571</c:v>
                </c:pt>
                <c:pt idx="36">
                  <c:v>-142.34502227649156</c:v>
                </c:pt>
                <c:pt idx="37">
                  <c:v>-144.9809725866152</c:v>
                </c:pt>
                <c:pt idx="38">
                  <c:v>-147.69010976311861</c:v>
                </c:pt>
                <c:pt idx="39">
                  <c:v>-150.47624895596641</c:v>
                </c:pt>
                <c:pt idx="40">
                  <c:v>-153.34345517788222</c:v>
                </c:pt>
                <c:pt idx="41">
                  <c:v>-156.29606461914807</c:v>
                </c:pt>
                <c:pt idx="42">
                  <c:v>-159.33870816093676</c:v>
                </c:pt>
                <c:pt idx="43">
                  <c:v>-162.47633735756565</c:v>
                </c:pt>
                <c:pt idx="44">
                  <c:v>-165.71425319663174</c:v>
                </c:pt>
                <c:pt idx="45">
                  <c:v>-169.05813799092465</c:v>
                </c:pt>
                <c:pt idx="46">
                  <c:v>-172.51409080840844</c:v>
                </c:pt>
                <c:pt idx="47">
                  <c:v>-176.08866690787477</c:v>
                </c:pt>
                <c:pt idx="48">
                  <c:v>-179.78892171977859</c:v>
                </c:pt>
                <c:pt idx="49">
                  <c:v>-183.62245999639362</c:v>
                </c:pt>
                <c:pt idx="50">
                  <c:v>-187.59749085523919</c:v>
                </c:pt>
                <c:pt idx="51">
                  <c:v>-191.72288955795204</c:v>
                </c:pt>
                <c:pt idx="52">
                  <c:v>-196.00826700707142</c:v>
                </c:pt>
                <c:pt idx="53">
                  <c:v>-200.46404811046838</c:v>
                </c:pt>
                <c:pt idx="54">
                  <c:v>-205.10156036304855</c:v>
                </c:pt>
                <c:pt idx="55">
                  <c:v>-209.93313423530307</c:v>
                </c:pt>
                <c:pt idx="56">
                  <c:v>-214.97221724727396</c:v>
                </c:pt>
                <c:pt idx="57">
                  <c:v>-220.23350395598186</c:v>
                </c:pt>
                <c:pt idx="58">
                  <c:v>-225.73308450875606</c:v>
                </c:pt>
                <c:pt idx="59">
                  <c:v>-231.48861493243484</c:v>
                </c:pt>
                <c:pt idx="60">
                  <c:v>-237.51951296238187</c:v>
                </c:pt>
                <c:pt idx="61">
                  <c:v>-243.84718399557582</c:v>
                </c:pt>
                <c:pt idx="62">
                  <c:v>-250.49528271708905</c:v>
                </c:pt>
                <c:pt idx="63">
                  <c:v>-257.49001714913311</c:v>
                </c:pt>
                <c:pt idx="64">
                  <c:v>-264.86050337168831</c:v>
                </c:pt>
                <c:pt idx="65">
                  <c:v>-272.63918104914222</c:v>
                </c:pt>
                <c:pt idx="66">
                  <c:v>-280.86230228199162</c:v>
                </c:pt>
                <c:pt idx="67">
                  <c:v>-289.57050933754437</c:v>
                </c:pt>
                <c:pt idx="68">
                  <c:v>-298.8095207020404</c:v>
                </c:pt>
                <c:pt idx="69">
                  <c:v>-308.63094991401726</c:v>
                </c:pt>
                <c:pt idx="70">
                  <c:v>-319.09328816128965</c:v>
                </c:pt>
                <c:pt idx="71">
                  <c:v>-330.26309017090671</c:v>
                </c:pt>
                <c:pt idx="72">
                  <c:v>-342.21641421537265</c:v>
                </c:pt>
                <c:pt idx="73">
                  <c:v>-355.04058211729705</c:v>
                </c:pt>
                <c:pt idx="74">
                  <c:v>-368.83634540602935</c:v>
                </c:pt>
                <c:pt idx="75">
                  <c:v>-383.720571348909</c:v>
                </c:pt>
                <c:pt idx="76">
                  <c:v>-399.82960048737363</c:v>
                </c:pt>
                <c:pt idx="77">
                  <c:v>-417.32348004913081</c:v>
                </c:pt>
                <c:pt idx="78">
                  <c:v>-436.39135192423089</c:v>
                </c:pt>
                <c:pt idx="79">
                  <c:v>-457.25838005995286</c:v>
                </c:pt>
                <c:pt idx="80">
                  <c:v>-480.19475607107159</c:v>
                </c:pt>
                <c:pt idx="81">
                  <c:v>-505.52754872393098</c:v>
                </c:pt>
                <c:pt idx="82">
                  <c:v>-533.65650324551791</c:v>
                </c:pt>
                <c:pt idx="83">
                  <c:v>-565.07541685598414</c:v>
                </c:pt>
                <c:pt idx="84">
                  <c:v>-600.40153012262215</c:v>
                </c:pt>
                <c:pt idx="85">
                  <c:v>-640.41667485197627</c:v>
                </c:pt>
                <c:pt idx="86">
                  <c:v>-686.12605678958005</c:v>
                </c:pt>
                <c:pt idx="87">
                  <c:v>-738.84416879254741</c:v>
                </c:pt>
                <c:pt idx="88">
                  <c:v>-800.32366058505283</c:v>
                </c:pt>
                <c:pt idx="89">
                  <c:v>-872.95450110313197</c:v>
                </c:pt>
                <c:pt idx="90">
                  <c:v>-960.08263824310438</c:v>
                </c:pt>
                <c:pt idx="91">
                  <c:v>-1066.5410984365576</c:v>
                </c:pt>
                <c:pt idx="92">
                  <c:v>-1199.5794109017509</c:v>
                </c:pt>
                <c:pt idx="93">
                  <c:v>-1370.5896812493552</c:v>
                </c:pt>
                <c:pt idx="94">
                  <c:v>-1598.5587386849725</c:v>
                </c:pt>
                <c:pt idx="95">
                  <c:v>-1917.662859850933</c:v>
                </c:pt>
                <c:pt idx="96">
                  <c:v>-2396.2545784201384</c:v>
                </c:pt>
                <c:pt idx="97">
                  <c:v>-3193.8231138578744</c:v>
                </c:pt>
                <c:pt idx="98">
                  <c:v>-4788.8360864845299</c:v>
                </c:pt>
                <c:pt idx="99">
                  <c:v>-9573.6315228290277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463872"/>
        <c:axId val="242465792"/>
      </c:scatterChart>
      <c:valAx>
        <c:axId val="24246387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Course du vérin  (Cv)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242465792"/>
        <c:crosses val="autoZero"/>
        <c:crossBetween val="midCat"/>
      </c:valAx>
      <c:valAx>
        <c:axId val="242465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Course point C  (Cc)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242463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464820</xdr:colOff>
      <xdr:row>3</xdr:row>
      <xdr:rowOff>7620</xdr:rowOff>
    </xdr:from>
    <xdr:to>
      <xdr:col>4</xdr:col>
      <xdr:colOff>457200</xdr:colOff>
      <xdr:row>18</xdr:row>
      <xdr:rowOff>160020</xdr:rowOff>
    </xdr:to>
    <xdr:grpSp>
      <xdr:nvGrpSpPr>
        <xdr:cNvPr id="3" name="Groupe 2"/>
        <xdr:cNvGrpSpPr/>
      </xdr:nvGrpSpPr>
      <xdr:grpSpPr>
        <a:xfrm>
          <a:off x="845820" y="563880"/>
          <a:ext cx="2369820" cy="2895600"/>
          <a:chOff x="464820" y="373380"/>
          <a:chExt cx="2369820" cy="2895600"/>
        </a:xfrm>
      </xdr:grpSpPr>
      <xdr:sp macro="" textlink="">
        <xdr:nvSpPr>
          <xdr:cNvPr id="29" name="Forme libre 28"/>
          <xdr:cNvSpPr/>
        </xdr:nvSpPr>
        <xdr:spPr>
          <a:xfrm rot="16200000">
            <a:off x="1301593" y="1804508"/>
            <a:ext cx="208597" cy="678183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" name="Rectangle 1"/>
          <xdr:cNvSpPr/>
        </xdr:nvSpPr>
        <xdr:spPr>
          <a:xfrm>
            <a:off x="1371600" y="2042160"/>
            <a:ext cx="373380" cy="205740"/>
          </a:xfrm>
          <a:prstGeom prst="rect">
            <a:avLst/>
          </a:prstGeom>
          <a:solidFill>
            <a:schemeClr val="bg1"/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Ellipse 5"/>
          <xdr:cNvSpPr/>
        </xdr:nvSpPr>
        <xdr:spPr>
          <a:xfrm rot="21134086">
            <a:off x="1500023" y="1424378"/>
            <a:ext cx="91440" cy="91440"/>
          </a:xfrm>
          <a:prstGeom prst="ellipse">
            <a:avLst/>
          </a:prstGeom>
          <a:noFill/>
          <a:ln w="12700">
            <a:solidFill>
              <a:schemeClr val="accent4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8" name="Ellipse 7"/>
          <xdr:cNvSpPr/>
        </xdr:nvSpPr>
        <xdr:spPr>
          <a:xfrm rot="21134086">
            <a:off x="1597420" y="2103051"/>
            <a:ext cx="91440" cy="91440"/>
          </a:xfrm>
          <a:prstGeom prst="ellipse">
            <a:avLst/>
          </a:prstGeom>
          <a:solidFill>
            <a:schemeClr val="bg1"/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4" name="Rectangle à coins arrondis 13"/>
          <xdr:cNvSpPr/>
        </xdr:nvSpPr>
        <xdr:spPr>
          <a:xfrm rot="21134086">
            <a:off x="1470313" y="1303021"/>
            <a:ext cx="374074" cy="1844040"/>
          </a:xfrm>
          <a:prstGeom prst="roundRect">
            <a:avLst/>
          </a:prstGeom>
          <a:noFill/>
          <a:ln w="12700">
            <a:solidFill>
              <a:schemeClr val="accent4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5" name="Rectangle à coins arrondis 14"/>
          <xdr:cNvSpPr/>
        </xdr:nvSpPr>
        <xdr:spPr>
          <a:xfrm rot="21134086">
            <a:off x="1688228" y="2699127"/>
            <a:ext cx="114300" cy="342900"/>
          </a:xfrm>
          <a:prstGeom prst="roundRect">
            <a:avLst/>
          </a:prstGeom>
          <a:noFill/>
          <a:ln w="12700">
            <a:solidFill>
              <a:schemeClr val="accent4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7" name="Rectangle à coins arrondis 16"/>
          <xdr:cNvSpPr/>
        </xdr:nvSpPr>
        <xdr:spPr>
          <a:xfrm rot="1437822">
            <a:off x="801608" y="1244691"/>
            <a:ext cx="893431" cy="190500"/>
          </a:xfrm>
          <a:prstGeom prst="roundRect">
            <a:avLst/>
          </a:prstGeom>
          <a:noFill/>
          <a:ln w="3175">
            <a:solidFill>
              <a:srgbClr val="00B0F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8" name="Ellipse 17"/>
          <xdr:cNvSpPr/>
        </xdr:nvSpPr>
        <xdr:spPr>
          <a:xfrm>
            <a:off x="1699260" y="2842260"/>
            <a:ext cx="91440" cy="91440"/>
          </a:xfrm>
          <a:prstGeom prst="ellipse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21" name="Forme libre 20"/>
          <xdr:cNvSpPr/>
        </xdr:nvSpPr>
        <xdr:spPr>
          <a:xfrm>
            <a:off x="1264920" y="2781300"/>
            <a:ext cx="871920" cy="213360"/>
          </a:xfrm>
          <a:custGeom>
            <a:avLst/>
            <a:gdLst>
              <a:gd name="connsiteX0" fmla="*/ 0 w 3954780"/>
              <a:gd name="connsiteY0" fmla="*/ 152400 h 967740"/>
              <a:gd name="connsiteX1" fmla="*/ 342900 w 3954780"/>
              <a:gd name="connsiteY1" fmla="*/ 495300 h 967740"/>
              <a:gd name="connsiteX2" fmla="*/ 0 w 3954780"/>
              <a:gd name="connsiteY2" fmla="*/ 838200 h 967740"/>
              <a:gd name="connsiteX3" fmla="*/ 0 w 3954780"/>
              <a:gd name="connsiteY3" fmla="*/ 967740 h 967740"/>
              <a:gd name="connsiteX4" fmla="*/ 3954780 w 3954780"/>
              <a:gd name="connsiteY4" fmla="*/ 967740 h 967740"/>
              <a:gd name="connsiteX5" fmla="*/ 3954780 w 3954780"/>
              <a:gd name="connsiteY5" fmla="*/ 0 h 967740"/>
              <a:gd name="connsiteX6" fmla="*/ 7620 w 3954780"/>
              <a:gd name="connsiteY6" fmla="*/ 0 h 967740"/>
              <a:gd name="connsiteX7" fmla="*/ 0 w 3954780"/>
              <a:gd name="connsiteY7" fmla="*/ 152400 h 96774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</a:cxnLst>
            <a:rect l="l" t="t" r="r" b="b"/>
            <a:pathLst>
              <a:path w="3954780" h="967740">
                <a:moveTo>
                  <a:pt x="0" y="152400"/>
                </a:moveTo>
                <a:lnTo>
                  <a:pt x="342900" y="495300"/>
                </a:lnTo>
                <a:lnTo>
                  <a:pt x="0" y="838200"/>
                </a:lnTo>
                <a:lnTo>
                  <a:pt x="0" y="967740"/>
                </a:lnTo>
                <a:lnTo>
                  <a:pt x="3954780" y="967740"/>
                </a:lnTo>
                <a:lnTo>
                  <a:pt x="3954780" y="0"/>
                </a:lnTo>
                <a:lnTo>
                  <a:pt x="7620" y="0"/>
                </a:lnTo>
                <a:lnTo>
                  <a:pt x="0" y="152400"/>
                </a:lnTo>
                <a:close/>
              </a:path>
            </a:pathLst>
          </a:cu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22" name="Forme libre 21"/>
          <xdr:cNvSpPr/>
        </xdr:nvSpPr>
        <xdr:spPr>
          <a:xfrm>
            <a:off x="1318260" y="2636520"/>
            <a:ext cx="137160" cy="1314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3" name="Forme libre 22"/>
          <xdr:cNvSpPr/>
        </xdr:nvSpPr>
        <xdr:spPr>
          <a:xfrm>
            <a:off x="1973580" y="2674620"/>
            <a:ext cx="144780" cy="933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6" name="Forme libre 25"/>
          <xdr:cNvSpPr/>
        </xdr:nvSpPr>
        <xdr:spPr>
          <a:xfrm flipV="1">
            <a:off x="1318260" y="3009900"/>
            <a:ext cx="137160" cy="1314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7" name="Forme libre 26"/>
          <xdr:cNvSpPr/>
        </xdr:nvSpPr>
        <xdr:spPr>
          <a:xfrm flipV="1">
            <a:off x="1981200" y="3009900"/>
            <a:ext cx="137160" cy="1314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8" name="Forme libre 27"/>
          <xdr:cNvSpPr/>
        </xdr:nvSpPr>
        <xdr:spPr>
          <a:xfrm>
            <a:off x="464820" y="908685"/>
            <a:ext cx="899160" cy="112396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35" name="Connecteur droit 34"/>
          <xdr:cNvCxnSpPr/>
        </xdr:nvCxnSpPr>
        <xdr:spPr>
          <a:xfrm flipH="1">
            <a:off x="518160" y="2884170"/>
            <a:ext cx="213741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7" name="Ellipse 36"/>
          <xdr:cNvSpPr>
            <a:spLocks noChangeAspect="1"/>
          </xdr:cNvSpPr>
        </xdr:nvSpPr>
        <xdr:spPr>
          <a:xfrm>
            <a:off x="904020" y="2865120"/>
            <a:ext cx="36000" cy="36000"/>
          </a:xfrm>
          <a:prstGeom prst="ellipse">
            <a:avLst/>
          </a:prstGeom>
          <a:solidFill>
            <a:schemeClr val="tx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cxnSp macro="">
        <xdr:nvCxnSpPr>
          <xdr:cNvPr id="34" name="Connecteur droit 33"/>
          <xdr:cNvCxnSpPr>
            <a:stCxn id="51" idx="2"/>
          </xdr:cNvCxnSpPr>
        </xdr:nvCxnSpPr>
        <xdr:spPr>
          <a:xfrm>
            <a:off x="922020" y="563880"/>
            <a:ext cx="0" cy="268224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Ellipse 9"/>
          <xdr:cNvSpPr/>
        </xdr:nvSpPr>
        <xdr:spPr>
          <a:xfrm>
            <a:off x="876300" y="1150620"/>
            <a:ext cx="91440" cy="91440"/>
          </a:xfrm>
          <a:prstGeom prst="ellipse">
            <a:avLst/>
          </a:prstGeom>
          <a:noFill/>
          <a:ln w="12700">
            <a:solidFill>
              <a:srgbClr val="00B0F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cxnSp macro="">
        <xdr:nvCxnSpPr>
          <xdr:cNvPr id="32" name="Connecteur droit avec flèche 31"/>
          <xdr:cNvCxnSpPr/>
        </xdr:nvCxnSpPr>
        <xdr:spPr>
          <a:xfrm>
            <a:off x="922020" y="1173480"/>
            <a:ext cx="0" cy="243840"/>
          </a:xfrm>
          <a:prstGeom prst="straightConnector1">
            <a:avLst/>
          </a:prstGeom>
          <a:ln w="19050"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Connecteur droit avec flèche 37"/>
          <xdr:cNvCxnSpPr/>
        </xdr:nvCxnSpPr>
        <xdr:spPr>
          <a:xfrm>
            <a:off x="632460" y="1310640"/>
            <a:ext cx="213360" cy="0"/>
          </a:xfrm>
          <a:prstGeom prst="straightConnector1">
            <a:avLst/>
          </a:prstGeom>
          <a:ln w="9525">
            <a:solidFill>
              <a:srgbClr val="FF0000"/>
            </a:solidFill>
            <a:headEnd type="none" w="med" len="med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Connecteur droit avec flèche 40"/>
          <xdr:cNvCxnSpPr/>
        </xdr:nvCxnSpPr>
        <xdr:spPr>
          <a:xfrm flipH="1">
            <a:off x="1013460" y="2887980"/>
            <a:ext cx="297180" cy="0"/>
          </a:xfrm>
          <a:prstGeom prst="straightConnector1">
            <a:avLst/>
          </a:prstGeom>
          <a:ln w="19050"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" name="ZoneTexte 45"/>
          <xdr:cNvSpPr txBox="1"/>
        </xdr:nvSpPr>
        <xdr:spPr>
          <a:xfrm>
            <a:off x="1684020" y="129540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</a:t>
            </a:r>
          </a:p>
        </xdr:txBody>
      </xdr:sp>
      <xdr:sp macro="" textlink="">
        <xdr:nvSpPr>
          <xdr:cNvPr id="47" name="ZoneTexte 46"/>
          <xdr:cNvSpPr txBox="1"/>
        </xdr:nvSpPr>
        <xdr:spPr>
          <a:xfrm>
            <a:off x="1783080" y="201168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B</a:t>
            </a:r>
          </a:p>
        </xdr:txBody>
      </xdr:sp>
      <xdr:sp macro="" textlink="">
        <xdr:nvSpPr>
          <xdr:cNvPr id="48" name="ZoneTexte 47"/>
          <xdr:cNvSpPr txBox="1"/>
        </xdr:nvSpPr>
        <xdr:spPr>
          <a:xfrm>
            <a:off x="1836420" y="2804160"/>
            <a:ext cx="198120" cy="144780"/>
          </a:xfrm>
          <a:prstGeom prst="rect">
            <a:avLst/>
          </a:prstGeom>
          <a:solidFill>
            <a:sysClr val="window" lastClr="FFFFFF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C</a:t>
            </a:r>
          </a:p>
        </xdr:txBody>
      </xdr:sp>
      <xdr:sp macro="" textlink="">
        <xdr:nvSpPr>
          <xdr:cNvPr id="49" name="ZoneTexte 48"/>
          <xdr:cNvSpPr txBox="1"/>
        </xdr:nvSpPr>
        <xdr:spPr>
          <a:xfrm>
            <a:off x="647700" y="114300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D</a:t>
            </a:r>
          </a:p>
        </xdr:txBody>
      </xdr:sp>
      <xdr:sp macro="" textlink="">
        <xdr:nvSpPr>
          <xdr:cNvPr id="50" name="ZoneTexte 49"/>
          <xdr:cNvSpPr txBox="1"/>
        </xdr:nvSpPr>
        <xdr:spPr>
          <a:xfrm>
            <a:off x="701040" y="288036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O</a:t>
            </a:r>
          </a:p>
        </xdr:txBody>
      </xdr:sp>
      <xdr:sp macro="" textlink="">
        <xdr:nvSpPr>
          <xdr:cNvPr id="51" name="ZoneTexte 50"/>
          <xdr:cNvSpPr txBox="1"/>
        </xdr:nvSpPr>
        <xdr:spPr>
          <a:xfrm>
            <a:off x="830580" y="373380"/>
            <a:ext cx="18288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Y</a:t>
            </a:r>
          </a:p>
        </xdr:txBody>
      </xdr:sp>
      <xdr:cxnSp macro="">
        <xdr:nvCxnSpPr>
          <xdr:cNvPr id="53" name="Connecteur droit 52"/>
          <xdr:cNvCxnSpPr/>
        </xdr:nvCxnSpPr>
        <xdr:spPr>
          <a:xfrm>
            <a:off x="1502302" y="1158240"/>
            <a:ext cx="302453" cy="211074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prstDash val="lgDashDot"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Connecteur droit 54"/>
          <xdr:cNvCxnSpPr/>
        </xdr:nvCxnSpPr>
        <xdr:spPr>
          <a:xfrm>
            <a:off x="662940" y="1074420"/>
            <a:ext cx="1146266" cy="49530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prstDash val="lgDashDot"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0" name="ZoneTexte 59"/>
          <xdr:cNvSpPr txBox="1"/>
        </xdr:nvSpPr>
        <xdr:spPr>
          <a:xfrm>
            <a:off x="655320" y="131064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Fv</a:t>
            </a:r>
          </a:p>
        </xdr:txBody>
      </xdr:sp>
      <xdr:cxnSp macro="">
        <xdr:nvCxnSpPr>
          <xdr:cNvPr id="61" name="Connecteur droit avec flèche 60"/>
          <xdr:cNvCxnSpPr/>
        </xdr:nvCxnSpPr>
        <xdr:spPr>
          <a:xfrm>
            <a:off x="982980" y="2948940"/>
            <a:ext cx="213360" cy="0"/>
          </a:xfrm>
          <a:prstGeom prst="straightConnector1">
            <a:avLst/>
          </a:prstGeom>
          <a:ln w="9525">
            <a:solidFill>
              <a:srgbClr val="FF0000"/>
            </a:solidFill>
            <a:headEnd type="none" w="med" len="med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ZoneTexte 61"/>
          <xdr:cNvSpPr txBox="1"/>
        </xdr:nvSpPr>
        <xdr:spPr>
          <a:xfrm>
            <a:off x="1005840" y="294894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Fs</a:t>
            </a:r>
          </a:p>
        </xdr:txBody>
      </xdr:sp>
      <xdr:sp macro="" textlink="">
        <xdr:nvSpPr>
          <xdr:cNvPr id="63" name="ZoneTexte 62"/>
          <xdr:cNvSpPr txBox="1"/>
        </xdr:nvSpPr>
        <xdr:spPr>
          <a:xfrm>
            <a:off x="2651760" y="2804160"/>
            <a:ext cx="18288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X</a:t>
            </a:r>
          </a:p>
        </xdr:txBody>
      </xdr:sp>
      <xdr:sp macro="" textlink="">
        <xdr:nvSpPr>
          <xdr:cNvPr id="66" name="Arc 65"/>
          <xdr:cNvSpPr/>
        </xdr:nvSpPr>
        <xdr:spPr>
          <a:xfrm>
            <a:off x="640080" y="548640"/>
            <a:ext cx="1844040" cy="1844040"/>
          </a:xfrm>
          <a:prstGeom prst="arc">
            <a:avLst>
              <a:gd name="adj1" fmla="val 4918565"/>
              <a:gd name="adj2" fmla="val 5501902"/>
            </a:avLst>
          </a:prstGeom>
          <a:ln>
            <a:solidFill>
              <a:schemeClr val="bg1">
                <a:lumMod val="50000"/>
              </a:schemeClr>
            </a:solidFill>
            <a:headEnd type="triangle" w="med" len="med"/>
            <a:tailEnd type="non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68" name="Connecteur droit 67"/>
          <xdr:cNvCxnSpPr/>
        </xdr:nvCxnSpPr>
        <xdr:spPr>
          <a:xfrm flipH="1">
            <a:off x="1424940" y="1459230"/>
            <a:ext cx="100584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Arc 71"/>
          <xdr:cNvSpPr/>
        </xdr:nvSpPr>
        <xdr:spPr>
          <a:xfrm>
            <a:off x="579120" y="876300"/>
            <a:ext cx="685800" cy="685800"/>
          </a:xfrm>
          <a:prstGeom prst="arc">
            <a:avLst>
              <a:gd name="adj1" fmla="val 1002290"/>
              <a:gd name="adj2" fmla="val 5383197"/>
            </a:avLst>
          </a:prstGeom>
          <a:ln>
            <a:solidFill>
              <a:schemeClr val="bg1">
                <a:lumMod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3" name="ZoneTexte 72"/>
          <xdr:cNvSpPr txBox="1"/>
        </xdr:nvSpPr>
        <xdr:spPr>
          <a:xfrm>
            <a:off x="1524000" y="240792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δ</a:t>
            </a:r>
            <a:endParaRPr lang="fr-FR" sz="1100"/>
          </a:p>
        </xdr:txBody>
      </xdr:sp>
      <xdr:sp macro="" textlink="">
        <xdr:nvSpPr>
          <xdr:cNvPr id="74" name="ZoneTexte 73"/>
          <xdr:cNvSpPr txBox="1"/>
        </xdr:nvSpPr>
        <xdr:spPr>
          <a:xfrm>
            <a:off x="1028700" y="149352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θ</a:t>
            </a:r>
            <a:endParaRPr lang="fr-FR" sz="1100"/>
          </a:p>
        </xdr:txBody>
      </xdr:sp>
      <xdr:cxnSp macro="">
        <xdr:nvCxnSpPr>
          <xdr:cNvPr id="77" name="Connecteur droit 76"/>
          <xdr:cNvCxnSpPr/>
        </xdr:nvCxnSpPr>
        <xdr:spPr>
          <a:xfrm flipH="1">
            <a:off x="1424940" y="2145030"/>
            <a:ext cx="100584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Connecteur droit 82"/>
          <xdr:cNvCxnSpPr/>
        </xdr:nvCxnSpPr>
        <xdr:spPr>
          <a:xfrm>
            <a:off x="1539240" y="1143000"/>
            <a:ext cx="0" cy="133350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335280</xdr:colOff>
      <xdr:row>2</xdr:row>
      <xdr:rowOff>133350</xdr:rowOff>
    </xdr:from>
    <xdr:to>
      <xdr:col>17</xdr:col>
      <xdr:colOff>525780</xdr:colOff>
      <xdr:row>17</xdr:row>
      <xdr:rowOff>129540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335280</xdr:colOff>
      <xdr:row>18</xdr:row>
      <xdr:rowOff>110490</xdr:rowOff>
    </xdr:from>
    <xdr:to>
      <xdr:col>17</xdr:col>
      <xdr:colOff>525780</xdr:colOff>
      <xdr:row>33</xdr:row>
      <xdr:rowOff>114300</xdr:rowOff>
    </xdr:to>
    <xdr:graphicFrame macro="">
      <xdr:nvGraphicFramePr>
        <xdr:cNvPr id="54" name="Graphique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3175">
          <a:solidFill>
            <a:srgbClr val="FF0000"/>
          </a:solidFill>
        </a:ln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AG148"/>
  <sheetViews>
    <sheetView showGridLines="0" tabSelected="1" workbookViewId="0">
      <selection activeCell="H28" sqref="H28"/>
    </sheetView>
  </sheetViews>
  <sheetFormatPr baseColWidth="10" defaultRowHeight="14.4" x14ac:dyDescent="0.3"/>
  <cols>
    <col min="1" max="1" width="5.5546875" customWidth="1"/>
    <col min="6" max="6" width="12" customWidth="1"/>
    <col min="8" max="8" width="10.44140625" customWidth="1"/>
    <col min="19" max="19" width="4.88671875" customWidth="1"/>
    <col min="21" max="21" width="2.33203125" customWidth="1"/>
    <col min="22" max="22" width="11.5546875" customWidth="1"/>
    <col min="26" max="26" width="3" customWidth="1"/>
    <col min="28" max="28" width="13.109375" bestFit="1" customWidth="1"/>
    <col min="29" max="29" width="12.6640625" bestFit="1" customWidth="1"/>
    <col min="30" max="30" width="12.6640625" customWidth="1"/>
    <col min="36" max="39" width="11.5546875" customWidth="1"/>
  </cols>
  <sheetData>
    <row r="1" spans="2:33" ht="15" thickBot="1" x14ac:dyDescent="0.35"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</row>
    <row r="2" spans="2:33" x14ac:dyDescent="0.3">
      <c r="B2" s="58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60"/>
      <c r="U2" s="112" t="s">
        <v>57</v>
      </c>
      <c r="V2" s="113"/>
      <c r="W2" s="113"/>
      <c r="X2" s="113"/>
      <c r="Y2" s="113"/>
      <c r="Z2" s="114"/>
      <c r="AC2" s="83"/>
      <c r="AD2" s="83"/>
    </row>
    <row r="3" spans="2:33" x14ac:dyDescent="0.3">
      <c r="B3" s="60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60"/>
      <c r="U3" s="115"/>
      <c r="V3" s="116"/>
      <c r="W3" s="116"/>
      <c r="X3" s="116"/>
      <c r="Y3" s="116"/>
      <c r="Z3" s="117"/>
      <c r="AC3" s="83"/>
      <c r="AD3" s="83"/>
    </row>
    <row r="4" spans="2:33" x14ac:dyDescent="0.3">
      <c r="B4" s="60"/>
      <c r="C4" s="8"/>
      <c r="D4" s="8"/>
      <c r="E4" s="61" t="s">
        <v>24</v>
      </c>
      <c r="G4" s="2"/>
      <c r="H4" s="2"/>
      <c r="I4" s="2"/>
      <c r="J4" s="2"/>
      <c r="K4" s="2"/>
      <c r="L4" s="2"/>
      <c r="M4" s="2"/>
      <c r="N4" s="2"/>
      <c r="O4" s="2"/>
      <c r="P4" s="8"/>
      <c r="Q4" s="8"/>
      <c r="R4" s="8"/>
      <c r="S4" s="60"/>
      <c r="U4" s="60"/>
      <c r="V4" s="2"/>
      <c r="W4" s="2"/>
      <c r="X4" s="10"/>
      <c r="Y4" s="10"/>
      <c r="Z4" s="84"/>
      <c r="AC4" s="83"/>
      <c r="AD4" s="83"/>
      <c r="AE4" s="8"/>
      <c r="AF4" s="8"/>
      <c r="AG4" s="8"/>
    </row>
    <row r="5" spans="2:33" x14ac:dyDescent="0.3">
      <c r="B5" s="60"/>
      <c r="C5" s="8"/>
      <c r="D5" s="8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8"/>
      <c r="Q5" s="8"/>
      <c r="R5" s="8"/>
      <c r="S5" s="60"/>
      <c r="U5" s="60"/>
      <c r="V5" s="8"/>
      <c r="W5" s="127" t="s">
        <v>18</v>
      </c>
      <c r="X5" s="107"/>
      <c r="Y5" s="8"/>
      <c r="Z5" s="84"/>
      <c r="AD5" s="20"/>
      <c r="AE5" s="8"/>
      <c r="AF5" s="8"/>
      <c r="AG5" s="8"/>
    </row>
    <row r="6" spans="2:33" x14ac:dyDescent="0.3">
      <c r="B6" s="60"/>
      <c r="C6" s="8"/>
      <c r="D6" s="8"/>
      <c r="E6" s="2"/>
      <c r="F6" s="126" t="s">
        <v>9</v>
      </c>
      <c r="G6" s="126"/>
      <c r="H6" s="2"/>
      <c r="K6" s="2"/>
      <c r="L6" s="2"/>
      <c r="M6" s="2"/>
      <c r="N6" s="2"/>
      <c r="O6" s="8"/>
      <c r="P6" s="8"/>
      <c r="Q6" s="8"/>
      <c r="R6" s="8"/>
      <c r="S6" s="60"/>
      <c r="U6" s="60"/>
      <c r="V6" s="9"/>
      <c r="W6" s="78" t="s">
        <v>7</v>
      </c>
      <c r="X6" s="78" t="s">
        <v>8</v>
      </c>
      <c r="Y6" s="8"/>
      <c r="Z6" s="84"/>
      <c r="AD6" s="21"/>
      <c r="AE6" s="2"/>
      <c r="AF6" s="8"/>
      <c r="AG6" s="8"/>
    </row>
    <row r="7" spans="2:33" x14ac:dyDescent="0.3">
      <c r="B7" s="60"/>
      <c r="C7" s="8"/>
      <c r="D7" s="8"/>
      <c r="E7" s="2"/>
      <c r="F7" s="103" t="s">
        <v>25</v>
      </c>
      <c r="G7" s="103"/>
      <c r="H7" s="2"/>
      <c r="K7" s="2"/>
      <c r="L7" s="2"/>
      <c r="M7" s="2"/>
      <c r="N7" s="2"/>
      <c r="O7" s="8"/>
      <c r="P7" s="8"/>
      <c r="Q7" s="8"/>
      <c r="R7" s="8"/>
      <c r="S7" s="60"/>
      <c r="U7" s="60"/>
      <c r="V7" s="9"/>
      <c r="W7" s="11">
        <f>ASIN(  (Xb-AD*SIN(PI()/2) ) / BA )</f>
        <v>-5.7174001080663006E-2</v>
      </c>
      <c r="X7" s="5">
        <f>DEGREES(δfin)</f>
        <v>-3.2758289597983978</v>
      </c>
      <c r="Y7" s="8"/>
      <c r="Z7" s="84"/>
      <c r="AD7" s="8"/>
      <c r="AE7" s="2"/>
      <c r="AF7" s="8"/>
      <c r="AG7" s="8"/>
    </row>
    <row r="8" spans="2:33" x14ac:dyDescent="0.3">
      <c r="B8" s="60"/>
      <c r="C8" s="8"/>
      <c r="D8" s="8"/>
      <c r="E8" s="2"/>
      <c r="F8" s="18" t="s">
        <v>3</v>
      </c>
      <c r="G8" s="18" t="s">
        <v>10</v>
      </c>
      <c r="H8" s="2"/>
      <c r="K8" s="2"/>
      <c r="L8" s="2"/>
      <c r="M8" s="2"/>
      <c r="N8" s="2"/>
      <c r="O8" s="8"/>
      <c r="P8" s="8"/>
      <c r="Q8" s="8"/>
      <c r="R8" s="8"/>
      <c r="S8" s="60"/>
      <c r="U8" s="60"/>
      <c r="V8" s="3"/>
      <c r="W8" s="2"/>
      <c r="X8" s="8"/>
      <c r="Y8" s="8"/>
      <c r="Z8" s="84"/>
      <c r="AD8" s="8"/>
      <c r="AE8" s="2"/>
      <c r="AF8" s="8"/>
      <c r="AG8" s="8"/>
    </row>
    <row r="9" spans="2:33" x14ac:dyDescent="0.3">
      <c r="B9" s="60"/>
      <c r="C9" s="8"/>
      <c r="D9" s="8"/>
      <c r="E9" s="2"/>
      <c r="F9" s="18" t="s">
        <v>0</v>
      </c>
      <c r="G9" s="18" t="s">
        <v>0</v>
      </c>
      <c r="H9" s="2"/>
      <c r="K9" s="2"/>
      <c r="L9" s="2"/>
      <c r="M9" s="2"/>
      <c r="N9" s="2"/>
      <c r="O9" s="8"/>
      <c r="P9" s="8"/>
      <c r="Q9" s="8"/>
      <c r="R9" s="8"/>
      <c r="S9" s="60"/>
      <c r="U9" s="60"/>
      <c r="V9" s="3"/>
      <c r="W9" s="2"/>
      <c r="X9" s="8"/>
      <c r="Y9" s="8"/>
      <c r="Z9" s="84"/>
      <c r="AD9" s="2"/>
      <c r="AE9" s="2"/>
      <c r="AF9" s="8"/>
      <c r="AG9" s="8"/>
    </row>
    <row r="10" spans="2:33" ht="14.4" customHeight="1" x14ac:dyDescent="0.3">
      <c r="B10" s="60"/>
      <c r="C10" s="8"/>
      <c r="D10" s="8"/>
      <c r="E10" s="62" t="s">
        <v>1</v>
      </c>
      <c r="F10" s="13">
        <v>140</v>
      </c>
      <c r="G10" s="7">
        <f>0</f>
        <v>0</v>
      </c>
      <c r="H10" s="2"/>
      <c r="I10" s="2"/>
      <c r="J10" s="2"/>
      <c r="K10" s="2"/>
      <c r="L10" s="2"/>
      <c r="M10" s="2"/>
      <c r="N10" s="2"/>
      <c r="O10" s="8"/>
      <c r="P10" s="8"/>
      <c r="Q10" s="8"/>
      <c r="R10" s="8"/>
      <c r="S10" s="60"/>
      <c r="U10" s="60"/>
      <c r="V10" s="3"/>
      <c r="W10" s="16" t="s">
        <v>21</v>
      </c>
      <c r="X10" s="8"/>
      <c r="Y10" s="8"/>
      <c r="Z10" s="84"/>
      <c r="AD10" s="8"/>
      <c r="AE10" s="2"/>
      <c r="AF10" s="2"/>
      <c r="AG10" s="8"/>
    </row>
    <row r="11" spans="2:33" x14ac:dyDescent="0.3">
      <c r="B11" s="60"/>
      <c r="C11" s="8"/>
      <c r="D11" s="8"/>
      <c r="E11" s="62" t="s">
        <v>2</v>
      </c>
      <c r="F11" s="14">
        <v>170</v>
      </c>
      <c r="G11" s="14">
        <v>425</v>
      </c>
      <c r="H11" s="2"/>
      <c r="I11" s="2"/>
      <c r="J11" s="2"/>
      <c r="K11" s="2"/>
      <c r="L11" s="2"/>
      <c r="M11" s="2"/>
      <c r="N11" s="2"/>
      <c r="O11" s="8"/>
      <c r="P11" s="8"/>
      <c r="Q11" s="8"/>
      <c r="R11" s="8"/>
      <c r="S11" s="60"/>
      <c r="U11" s="60"/>
      <c r="V11" s="3"/>
      <c r="W11" s="78" t="s">
        <v>6</v>
      </c>
      <c r="X11" s="8"/>
      <c r="Y11" s="8"/>
      <c r="Z11" s="84"/>
      <c r="AD11" s="8"/>
      <c r="AE11" s="2"/>
      <c r="AF11" s="2"/>
      <c r="AG11" s="8"/>
    </row>
    <row r="12" spans="2:33" x14ac:dyDescent="0.3">
      <c r="B12" s="60"/>
      <c r="C12" s="8"/>
      <c r="D12" s="8"/>
      <c r="E12" s="2"/>
      <c r="F12" s="2"/>
      <c r="G12" s="2"/>
      <c r="H12" s="2"/>
      <c r="I12" s="2"/>
      <c r="J12" s="2"/>
      <c r="K12" s="2"/>
      <c r="L12" s="2"/>
      <c r="M12" s="2"/>
      <c r="N12" s="2"/>
      <c r="O12" s="8"/>
      <c r="P12" s="8"/>
      <c r="Q12" s="8"/>
      <c r="R12" s="8"/>
      <c r="S12" s="60"/>
      <c r="U12" s="60"/>
      <c r="V12" s="3"/>
      <c r="W12" s="78" t="s">
        <v>0</v>
      </c>
      <c r="X12" s="8"/>
      <c r="Y12" s="8"/>
      <c r="Z12" s="85"/>
      <c r="AD12" s="8"/>
      <c r="AE12" s="2"/>
      <c r="AF12" s="2"/>
      <c r="AG12" s="8"/>
    </row>
    <row r="13" spans="2:33" x14ac:dyDescent="0.3">
      <c r="B13" s="60"/>
      <c r="C13" s="8"/>
      <c r="D13" s="8"/>
      <c r="E13" s="2"/>
      <c r="F13" s="2"/>
      <c r="G13" s="2"/>
      <c r="H13" s="82"/>
      <c r="I13" s="82"/>
      <c r="J13" s="82"/>
      <c r="K13" s="2"/>
      <c r="L13" s="2"/>
      <c r="M13" s="2"/>
      <c r="N13" s="2"/>
      <c r="O13" s="2"/>
      <c r="P13" s="2"/>
      <c r="Q13" s="8"/>
      <c r="R13" s="8"/>
      <c r="S13" s="60"/>
      <c r="U13" s="60"/>
      <c r="V13" s="62" t="s">
        <v>1</v>
      </c>
      <c r="W13" s="6">
        <f>Xb-BA*SIN(δfin)</f>
        <v>150</v>
      </c>
      <c r="X13" s="8"/>
      <c r="Y13" s="8"/>
      <c r="Z13" s="85"/>
      <c r="AD13" s="2"/>
      <c r="AE13" s="2"/>
      <c r="AF13" s="8"/>
      <c r="AG13" s="8"/>
    </row>
    <row r="14" spans="2:33" x14ac:dyDescent="0.3">
      <c r="B14" s="60"/>
      <c r="C14" s="8"/>
      <c r="D14" s="8"/>
      <c r="E14" s="2"/>
      <c r="F14" s="106" t="s">
        <v>5</v>
      </c>
      <c r="G14" s="107"/>
      <c r="H14" s="82"/>
      <c r="I14" s="82"/>
      <c r="J14" s="82"/>
      <c r="K14" s="2"/>
      <c r="L14" s="2"/>
      <c r="M14" s="2"/>
      <c r="N14" s="2"/>
      <c r="O14" s="2"/>
      <c r="P14" s="8"/>
      <c r="Q14" s="8"/>
      <c r="R14" s="8"/>
      <c r="S14" s="60"/>
      <c r="U14" s="60"/>
      <c r="V14" s="62" t="s">
        <v>2</v>
      </c>
      <c r="W14" s="4">
        <f>Yb+BA*COS(δfin)</f>
        <v>344.71405209656149</v>
      </c>
      <c r="X14" s="8"/>
      <c r="Y14" s="8"/>
      <c r="Z14" s="85"/>
      <c r="AA14" s="8"/>
      <c r="AB14" s="2"/>
      <c r="AD14" s="8"/>
      <c r="AE14" s="2"/>
      <c r="AF14" s="2"/>
      <c r="AG14" s="2"/>
    </row>
    <row r="15" spans="2:33" ht="14.4" customHeight="1" x14ac:dyDescent="0.3">
      <c r="B15" s="60"/>
      <c r="C15" s="8"/>
      <c r="D15" s="8"/>
      <c r="E15" s="2"/>
      <c r="F15" s="18" t="s">
        <v>4</v>
      </c>
      <c r="G15" s="18" t="s">
        <v>11</v>
      </c>
      <c r="H15" s="82"/>
      <c r="I15" s="82"/>
      <c r="J15" s="82"/>
      <c r="K15" s="2"/>
      <c r="L15" s="2"/>
      <c r="M15" s="2"/>
      <c r="N15" s="2"/>
      <c r="O15" s="2"/>
      <c r="P15" s="8"/>
      <c r="Q15" s="8"/>
      <c r="R15" s="8"/>
      <c r="S15" s="60"/>
      <c r="U15" s="60"/>
      <c r="V15" s="8"/>
      <c r="W15" s="2"/>
      <c r="X15" s="8"/>
      <c r="Y15" s="8"/>
      <c r="Z15" s="85"/>
      <c r="AA15" s="8"/>
      <c r="AB15" s="8"/>
      <c r="AD15" s="8"/>
      <c r="AE15" s="8"/>
      <c r="AF15" s="8"/>
      <c r="AG15" s="8"/>
    </row>
    <row r="16" spans="2:33" x14ac:dyDescent="0.3">
      <c r="B16" s="60"/>
      <c r="C16" s="8"/>
      <c r="D16" s="8"/>
      <c r="E16" s="2"/>
      <c r="F16" s="18" t="s">
        <v>0</v>
      </c>
      <c r="G16" s="18" t="s">
        <v>0</v>
      </c>
      <c r="H16" s="82"/>
      <c r="I16" s="82"/>
      <c r="J16" s="82"/>
      <c r="K16" s="63"/>
      <c r="L16" s="63"/>
      <c r="M16" s="63"/>
      <c r="N16" s="63"/>
      <c r="O16" s="63"/>
      <c r="P16" s="8"/>
      <c r="Q16" s="8"/>
      <c r="R16" s="8"/>
      <c r="S16" s="60"/>
      <c r="U16" s="60"/>
      <c r="V16" s="8"/>
      <c r="W16" s="8"/>
      <c r="X16" s="8"/>
      <c r="Y16" s="8"/>
      <c r="Z16" s="85"/>
      <c r="AA16" s="8"/>
      <c r="AB16" s="8"/>
      <c r="AD16" s="8"/>
      <c r="AE16" s="8"/>
      <c r="AF16" s="8"/>
      <c r="AG16" s="8"/>
    </row>
    <row r="17" spans="2:33" x14ac:dyDescent="0.3">
      <c r="B17" s="60"/>
      <c r="C17" s="8"/>
      <c r="D17" s="8"/>
      <c r="E17" s="2"/>
      <c r="F17" s="14">
        <v>150</v>
      </c>
      <c r="G17" s="14">
        <v>175</v>
      </c>
      <c r="H17" s="82"/>
      <c r="I17" s="82"/>
      <c r="J17" s="82"/>
      <c r="K17" s="2"/>
      <c r="L17" s="2"/>
      <c r="M17" s="2"/>
      <c r="N17" s="2"/>
      <c r="O17" s="2"/>
      <c r="P17" s="8"/>
      <c r="Q17" s="8"/>
      <c r="R17" s="8"/>
      <c r="S17" s="60"/>
      <c r="U17" s="60"/>
      <c r="V17" s="8"/>
      <c r="W17" s="128" t="s">
        <v>19</v>
      </c>
      <c r="X17" s="129"/>
      <c r="Y17" s="8"/>
      <c r="Z17" s="85"/>
      <c r="AA17" s="8"/>
      <c r="AB17" s="8"/>
      <c r="AC17" s="9"/>
      <c r="AD17" s="8"/>
      <c r="AE17" s="8"/>
      <c r="AF17" s="8"/>
      <c r="AG17" s="8"/>
    </row>
    <row r="18" spans="2:33" ht="14.4" customHeight="1" x14ac:dyDescent="0.3">
      <c r="B18" s="60"/>
      <c r="C18" s="8"/>
      <c r="D18" s="8"/>
      <c r="E18" s="2"/>
      <c r="G18" s="8"/>
      <c r="H18" s="82"/>
      <c r="I18" s="82"/>
      <c r="J18" s="82"/>
      <c r="K18" s="2"/>
      <c r="L18" s="2"/>
      <c r="M18" s="2"/>
      <c r="N18" s="2"/>
      <c r="O18" s="2"/>
      <c r="P18" s="2"/>
      <c r="Q18" s="8"/>
      <c r="R18" s="8"/>
      <c r="S18" s="60"/>
      <c r="U18" s="60"/>
      <c r="V18" s="8"/>
      <c r="W18" s="53" t="s">
        <v>53</v>
      </c>
      <c r="X18" s="54"/>
      <c r="Y18" s="8"/>
      <c r="Z18" s="85"/>
      <c r="AA18" s="8"/>
      <c r="AB18" s="8"/>
      <c r="AD18" s="8"/>
      <c r="AE18" s="8"/>
      <c r="AF18" s="8"/>
      <c r="AG18" s="8"/>
    </row>
    <row r="19" spans="2:33" x14ac:dyDescent="0.3">
      <c r="B19" s="60"/>
      <c r="C19" s="8"/>
      <c r="D19" s="8"/>
      <c r="E19" s="2"/>
      <c r="F19" s="17" t="s">
        <v>26</v>
      </c>
      <c r="G19" s="8"/>
      <c r="H19" s="82"/>
      <c r="I19" s="82"/>
      <c r="J19" s="82"/>
      <c r="K19" s="2"/>
      <c r="L19" s="2"/>
      <c r="M19" s="2"/>
      <c r="N19" s="2"/>
      <c r="O19" s="2"/>
      <c r="P19" s="2"/>
      <c r="Q19" s="8"/>
      <c r="R19" s="8"/>
      <c r="S19" s="60"/>
      <c r="U19" s="60"/>
      <c r="V19" s="8"/>
      <c r="W19" s="78" t="s">
        <v>0</v>
      </c>
      <c r="X19" s="130" t="s">
        <v>20</v>
      </c>
      <c r="Y19" s="8"/>
      <c r="Z19" s="85"/>
      <c r="AA19" s="8"/>
      <c r="AB19" s="8"/>
      <c r="AD19" s="8"/>
      <c r="AE19" s="8"/>
      <c r="AF19" s="8"/>
      <c r="AG19" s="8"/>
    </row>
    <row r="20" spans="2:33" x14ac:dyDescent="0.3">
      <c r="B20" s="60"/>
      <c r="C20" s="8"/>
      <c r="D20" s="8"/>
      <c r="E20" s="2"/>
      <c r="F20" s="18" t="s">
        <v>22</v>
      </c>
      <c r="G20" s="2"/>
      <c r="H20" s="82"/>
      <c r="I20" s="82"/>
      <c r="J20" s="82"/>
      <c r="K20" s="2"/>
      <c r="L20" s="2"/>
      <c r="M20" s="2"/>
      <c r="N20" s="2"/>
      <c r="O20" s="2"/>
      <c r="P20" s="2"/>
      <c r="Q20" s="8"/>
      <c r="R20" s="8"/>
      <c r="S20" s="60"/>
      <c r="U20" s="60"/>
      <c r="V20" s="8"/>
      <c r="W20" s="12">
        <f>Ydo-YaFin</f>
        <v>80.285947903438512</v>
      </c>
      <c r="X20" s="131"/>
      <c r="Y20" s="8"/>
      <c r="Z20" s="85"/>
      <c r="AA20" s="8"/>
      <c r="AB20" s="8"/>
      <c r="AD20" s="8"/>
      <c r="AE20" s="8"/>
      <c r="AF20" s="8"/>
      <c r="AG20" s="8"/>
    </row>
    <row r="21" spans="2:33" x14ac:dyDescent="0.3">
      <c r="B21" s="60"/>
      <c r="C21" s="8"/>
      <c r="D21" s="8"/>
      <c r="E21" s="2"/>
      <c r="F21" s="18" t="s">
        <v>23</v>
      </c>
      <c r="G21" s="2"/>
      <c r="H21" s="82"/>
      <c r="I21" s="82"/>
      <c r="J21" s="82"/>
      <c r="K21" s="8"/>
      <c r="L21" s="8"/>
      <c r="M21" s="8"/>
      <c r="N21" s="8"/>
      <c r="O21" s="8"/>
      <c r="P21" s="2"/>
      <c r="Q21" s="8"/>
      <c r="R21" s="8"/>
      <c r="S21" s="60"/>
      <c r="U21" s="60"/>
      <c r="V21" s="8"/>
      <c r="W21" s="8"/>
      <c r="X21" s="8"/>
      <c r="Y21" s="8"/>
      <c r="Z21" s="85"/>
      <c r="AA21" s="8"/>
      <c r="AB21" s="8"/>
      <c r="AD21" s="8"/>
      <c r="AE21" s="8"/>
      <c r="AF21" s="8"/>
      <c r="AG21" s="8"/>
    </row>
    <row r="22" spans="2:33" ht="15" thickBot="1" x14ac:dyDescent="0.35">
      <c r="B22" s="60"/>
      <c r="C22" s="8"/>
      <c r="D22" s="8"/>
      <c r="E22" s="2"/>
      <c r="F22" s="14">
        <v>-100</v>
      </c>
      <c r="G22" s="2"/>
      <c r="H22" s="82"/>
      <c r="I22" s="82"/>
      <c r="J22" s="82"/>
      <c r="K22" s="2"/>
      <c r="L22" s="2"/>
      <c r="M22" s="2"/>
      <c r="N22" s="2"/>
      <c r="O22" s="2"/>
      <c r="P22" s="2"/>
      <c r="Q22" s="8"/>
      <c r="R22" s="8"/>
      <c r="S22" s="60"/>
      <c r="U22" s="64"/>
      <c r="V22" s="65"/>
      <c r="W22" s="65"/>
      <c r="X22" s="65"/>
      <c r="Y22" s="65"/>
      <c r="Z22" s="86"/>
      <c r="AA22" s="8"/>
      <c r="AB22" s="8"/>
      <c r="AD22" s="8"/>
      <c r="AE22" s="8"/>
      <c r="AF22" s="8"/>
      <c r="AG22" s="8"/>
    </row>
    <row r="23" spans="2:33" x14ac:dyDescent="0.3">
      <c r="B23" s="60"/>
      <c r="C23" s="8"/>
      <c r="D23" s="8"/>
      <c r="E23" s="2"/>
      <c r="F23" s="2"/>
      <c r="G23" s="2"/>
      <c r="H23" s="82"/>
      <c r="I23" s="82"/>
      <c r="J23" s="82"/>
      <c r="K23" s="2"/>
      <c r="L23" s="2"/>
      <c r="M23" s="2"/>
      <c r="N23" s="2"/>
      <c r="O23" s="2"/>
      <c r="P23" s="2"/>
      <c r="Q23" s="8"/>
      <c r="R23" s="8"/>
      <c r="S23" s="60"/>
      <c r="V23" s="8"/>
      <c r="W23" s="8"/>
      <c r="X23" s="8"/>
      <c r="Y23" s="2"/>
      <c r="Z23" s="2"/>
      <c r="AA23" s="8"/>
      <c r="AB23" s="8"/>
      <c r="AD23" s="8"/>
      <c r="AE23" s="8"/>
      <c r="AF23" s="8"/>
      <c r="AG23" s="8"/>
    </row>
    <row r="24" spans="2:33" x14ac:dyDescent="0.3">
      <c r="B24" s="60"/>
      <c r="C24" s="8"/>
      <c r="D24" s="8"/>
      <c r="E24" s="2"/>
      <c r="F24" s="2"/>
      <c r="G24" s="2"/>
      <c r="H24" s="82"/>
      <c r="I24" s="82"/>
      <c r="J24" s="82"/>
      <c r="K24" s="2"/>
      <c r="L24" s="2"/>
      <c r="M24" s="2"/>
      <c r="N24" s="2"/>
      <c r="O24" s="2"/>
      <c r="P24" s="2"/>
      <c r="Q24" s="8"/>
      <c r="R24" s="8"/>
      <c r="S24" s="60"/>
      <c r="V24" s="8"/>
      <c r="W24" s="8"/>
      <c r="X24" s="8"/>
      <c r="Y24" s="2"/>
      <c r="Z24" s="2"/>
      <c r="AA24" s="8"/>
      <c r="AB24" s="8"/>
      <c r="AD24" s="8"/>
      <c r="AE24" s="8"/>
      <c r="AF24" s="8"/>
      <c r="AG24" s="8"/>
    </row>
    <row r="25" spans="2:33" x14ac:dyDescent="0.3">
      <c r="B25" s="60"/>
      <c r="C25" s="8"/>
      <c r="D25" s="8"/>
      <c r="E25" s="2"/>
      <c r="F25" s="2"/>
      <c r="G25" s="2"/>
      <c r="H25" s="82"/>
      <c r="I25" s="82"/>
      <c r="J25" s="82"/>
      <c r="K25" s="2"/>
      <c r="L25" s="2"/>
      <c r="M25" s="2"/>
      <c r="N25" s="2"/>
      <c r="O25" s="2"/>
      <c r="P25" s="2"/>
      <c r="Q25" s="8"/>
      <c r="R25" s="8"/>
      <c r="S25" s="60"/>
      <c r="V25" s="8"/>
      <c r="W25" s="8"/>
      <c r="X25" s="8"/>
      <c r="Y25" s="2"/>
      <c r="Z25" s="2"/>
      <c r="AA25" s="8"/>
      <c r="AB25" s="8"/>
      <c r="AD25" s="8"/>
      <c r="AE25" s="8"/>
      <c r="AF25" s="8"/>
      <c r="AG25" s="8"/>
    </row>
    <row r="26" spans="2:33" x14ac:dyDescent="0.3">
      <c r="B26" s="60"/>
      <c r="C26" s="8"/>
      <c r="D26" s="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8"/>
      <c r="R26" s="8"/>
      <c r="S26" s="60"/>
      <c r="V26" s="8"/>
      <c r="W26" s="8"/>
      <c r="X26" s="8"/>
      <c r="Y26" s="2"/>
      <c r="Z26" s="2"/>
      <c r="AA26" s="8"/>
      <c r="AB26" s="8"/>
      <c r="AD26" s="8"/>
      <c r="AE26" s="8"/>
      <c r="AF26" s="8"/>
      <c r="AG26" s="8"/>
    </row>
    <row r="27" spans="2:33" ht="15" thickBot="1" x14ac:dyDescent="0.35">
      <c r="B27" s="60"/>
      <c r="C27" s="8"/>
      <c r="D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8"/>
      <c r="R27" s="8"/>
      <c r="S27" s="60"/>
      <c r="W27" s="8"/>
      <c r="X27" s="8"/>
      <c r="Y27" s="2"/>
      <c r="Z27" s="2"/>
      <c r="AA27" s="8"/>
      <c r="AB27" s="8"/>
      <c r="AD27" s="8"/>
      <c r="AE27" s="8"/>
      <c r="AF27" s="8"/>
      <c r="AG27" s="8"/>
    </row>
    <row r="28" spans="2:33" x14ac:dyDescent="0.3">
      <c r="B28" s="60"/>
      <c r="C28" s="8"/>
      <c r="D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8"/>
      <c r="R28" s="8"/>
      <c r="S28" s="60"/>
      <c r="U28" s="58"/>
      <c r="V28" s="108" t="s">
        <v>48</v>
      </c>
      <c r="W28" s="108"/>
      <c r="X28" s="108"/>
      <c r="Y28" s="108"/>
      <c r="Z28" s="109"/>
      <c r="AA28" s="8"/>
      <c r="AB28" s="8"/>
      <c r="AD28" s="8"/>
      <c r="AE28" s="8"/>
      <c r="AF28" s="8"/>
      <c r="AG28" s="8"/>
    </row>
    <row r="29" spans="2:33" x14ac:dyDescent="0.3">
      <c r="B29" s="60"/>
      <c r="C29" s="8"/>
      <c r="D29" s="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8"/>
      <c r="R29" s="8"/>
      <c r="S29" s="60"/>
      <c r="U29" s="60"/>
      <c r="V29" s="110"/>
      <c r="W29" s="110"/>
      <c r="X29" s="110"/>
      <c r="Y29" s="110"/>
      <c r="Z29" s="111"/>
      <c r="AA29" s="8"/>
      <c r="AB29" s="8"/>
      <c r="AD29" s="8"/>
      <c r="AE29" s="8"/>
      <c r="AF29" s="8"/>
      <c r="AG29" s="8"/>
    </row>
    <row r="30" spans="2:33" ht="14.4" customHeight="1" x14ac:dyDescent="0.3">
      <c r="B30" s="60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8"/>
      <c r="R30" s="8"/>
      <c r="S30" s="60"/>
      <c r="U30" s="60"/>
      <c r="V30" s="116" t="s">
        <v>52</v>
      </c>
      <c r="W30" s="116"/>
      <c r="X30" s="116"/>
      <c r="Y30" s="116"/>
      <c r="Z30" s="117"/>
      <c r="AA30" s="8"/>
      <c r="AB30" s="8"/>
      <c r="AD30" s="8"/>
      <c r="AE30" s="8"/>
      <c r="AF30" s="8"/>
      <c r="AG30" s="8"/>
    </row>
    <row r="31" spans="2:33" x14ac:dyDescent="0.3">
      <c r="B31" s="60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8"/>
      <c r="R31" s="8"/>
      <c r="S31" s="60"/>
      <c r="U31" s="60"/>
      <c r="V31" s="121"/>
      <c r="W31" s="121"/>
      <c r="X31" s="121"/>
      <c r="Y31" s="121"/>
      <c r="Z31" s="122"/>
      <c r="AA31" s="8"/>
      <c r="AB31" s="8"/>
      <c r="AD31" s="8"/>
      <c r="AE31" s="8"/>
      <c r="AF31" s="8"/>
      <c r="AG31" s="8"/>
    </row>
    <row r="32" spans="2:33" x14ac:dyDescent="0.3">
      <c r="B32" s="60"/>
      <c r="C32" s="8"/>
      <c r="D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8"/>
      <c r="R32" s="8"/>
      <c r="S32" s="60"/>
      <c r="U32" s="87" t="s">
        <v>49</v>
      </c>
      <c r="V32" s="8"/>
      <c r="W32" s="55"/>
      <c r="X32" s="55"/>
      <c r="Y32" s="15"/>
      <c r="Z32" s="88"/>
      <c r="AA32" s="8"/>
      <c r="AB32" s="8"/>
      <c r="AD32" s="8"/>
      <c r="AE32" s="8"/>
      <c r="AF32" s="8"/>
      <c r="AG32" s="8"/>
    </row>
    <row r="33" spans="2:33" x14ac:dyDescent="0.3">
      <c r="B33" s="60"/>
      <c r="C33" s="8"/>
      <c r="D33" s="8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8"/>
      <c r="R33" s="8"/>
      <c r="S33" s="60"/>
      <c r="U33" s="87" t="s">
        <v>50</v>
      </c>
      <c r="V33" s="8"/>
      <c r="W33" s="56"/>
      <c r="X33" s="56"/>
      <c r="Y33" s="15"/>
      <c r="Z33" s="88"/>
      <c r="AA33" s="8"/>
      <c r="AB33" s="8"/>
      <c r="AD33" s="8"/>
      <c r="AE33" s="8"/>
      <c r="AF33" s="8"/>
      <c r="AG33" s="8"/>
    </row>
    <row r="34" spans="2:33" x14ac:dyDescent="0.3">
      <c r="B34" s="60"/>
      <c r="C34" s="8"/>
      <c r="D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8"/>
      <c r="R34" s="8"/>
      <c r="S34" s="60"/>
      <c r="U34" s="87" t="s">
        <v>51</v>
      </c>
      <c r="V34" s="8"/>
      <c r="W34" s="56"/>
      <c r="X34" s="15"/>
      <c r="Y34" s="15"/>
      <c r="Z34" s="88"/>
      <c r="AA34" s="8"/>
      <c r="AB34" s="8"/>
      <c r="AD34" s="8"/>
      <c r="AE34" s="8"/>
      <c r="AF34" s="8"/>
      <c r="AG34" s="8"/>
    </row>
    <row r="35" spans="2:33" ht="15" thickBot="1" x14ac:dyDescent="0.35">
      <c r="B35" s="64"/>
      <c r="C35" s="65"/>
      <c r="D35" s="65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5"/>
      <c r="R35" s="65"/>
      <c r="S35" s="60"/>
      <c r="U35" s="64"/>
      <c r="V35" s="65"/>
      <c r="W35" s="65"/>
      <c r="X35" s="65"/>
      <c r="Y35" s="65"/>
      <c r="Z35" s="89"/>
      <c r="AA35" s="8"/>
      <c r="AB35" s="8"/>
      <c r="AD35" s="8"/>
      <c r="AE35" s="8"/>
      <c r="AF35" s="8"/>
      <c r="AG35" s="8"/>
    </row>
    <row r="36" spans="2:33" x14ac:dyDescent="0.3"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8"/>
      <c r="R36" s="8"/>
      <c r="AA36" s="8"/>
      <c r="AB36" s="8"/>
      <c r="AC36" s="8"/>
      <c r="AD36" s="8"/>
      <c r="AE36" s="8"/>
      <c r="AF36" s="8"/>
      <c r="AG36" s="8"/>
    </row>
    <row r="37" spans="2:33" x14ac:dyDescent="0.3"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8"/>
      <c r="R37" s="8"/>
      <c r="AC37" s="8"/>
      <c r="AD37" s="8"/>
      <c r="AE37" s="8"/>
      <c r="AF37" s="8"/>
      <c r="AG37" s="8"/>
    </row>
    <row r="38" spans="2:33" x14ac:dyDescent="0.3"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8"/>
      <c r="R38" s="8"/>
    </row>
    <row r="39" spans="2:33" x14ac:dyDescent="0.3"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8"/>
      <c r="R39" s="8"/>
    </row>
    <row r="40" spans="2:33" ht="15" thickBot="1" x14ac:dyDescent="0.35"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2:33" x14ac:dyDescent="0.3">
      <c r="B41" s="100" t="s">
        <v>46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2"/>
      <c r="O41" s="123" t="s">
        <v>47</v>
      </c>
      <c r="P41" s="124"/>
      <c r="Q41" s="124"/>
      <c r="R41" s="125"/>
    </row>
    <row r="42" spans="2:33" x14ac:dyDescent="0.3">
      <c r="B42" s="67" t="s">
        <v>30</v>
      </c>
      <c r="C42" s="24" t="s">
        <v>43</v>
      </c>
      <c r="D42" s="118" t="s">
        <v>44</v>
      </c>
      <c r="E42" s="119"/>
      <c r="F42" s="119"/>
      <c r="G42" s="119"/>
      <c r="H42" s="119"/>
      <c r="I42" s="120"/>
      <c r="J42" s="104" t="s">
        <v>34</v>
      </c>
      <c r="K42" s="104"/>
      <c r="L42" s="105" t="s">
        <v>35</v>
      </c>
      <c r="M42" s="105"/>
      <c r="N42" s="44" t="s">
        <v>41</v>
      </c>
      <c r="O42" s="96" t="s">
        <v>45</v>
      </c>
      <c r="P42" s="97"/>
      <c r="Q42" s="98"/>
      <c r="R42" s="68" t="s">
        <v>55</v>
      </c>
    </row>
    <row r="43" spans="2:33" x14ac:dyDescent="0.3">
      <c r="B43" s="67" t="s">
        <v>42</v>
      </c>
      <c r="C43" s="24" t="s">
        <v>31</v>
      </c>
      <c r="D43" s="99" t="s">
        <v>12</v>
      </c>
      <c r="E43" s="99"/>
      <c r="F43" s="99"/>
      <c r="G43" s="28" t="s">
        <v>17</v>
      </c>
      <c r="H43" s="29" t="s">
        <v>32</v>
      </c>
      <c r="I43" s="28" t="s">
        <v>33</v>
      </c>
      <c r="J43" s="37" t="s">
        <v>36</v>
      </c>
      <c r="K43" s="37" t="s">
        <v>37</v>
      </c>
      <c r="L43" s="40" t="s">
        <v>38</v>
      </c>
      <c r="M43" s="40" t="s">
        <v>39</v>
      </c>
      <c r="N43" s="22" t="s">
        <v>40</v>
      </c>
      <c r="O43" s="24" t="s">
        <v>27</v>
      </c>
      <c r="P43" s="24" t="s">
        <v>29</v>
      </c>
      <c r="Q43" s="24" t="s">
        <v>28</v>
      </c>
      <c r="R43" s="69" t="s">
        <v>54</v>
      </c>
    </row>
    <row r="44" spans="2:33" x14ac:dyDescent="0.3">
      <c r="B44" s="70" t="s">
        <v>0</v>
      </c>
      <c r="C44" s="25" t="s">
        <v>0</v>
      </c>
      <c r="D44" s="30" t="s">
        <v>13</v>
      </c>
      <c r="E44" s="30" t="s">
        <v>14</v>
      </c>
      <c r="F44" s="30" t="s">
        <v>15</v>
      </c>
      <c r="G44" s="30" t="s">
        <v>16</v>
      </c>
      <c r="H44" s="30" t="s">
        <v>7</v>
      </c>
      <c r="I44" s="30" t="s">
        <v>7</v>
      </c>
      <c r="J44" s="38" t="s">
        <v>0</v>
      </c>
      <c r="K44" s="38" t="s">
        <v>0</v>
      </c>
      <c r="L44" s="41" t="s">
        <v>0</v>
      </c>
      <c r="M44" s="41" t="s">
        <v>0</v>
      </c>
      <c r="N44" s="23" t="s">
        <v>0</v>
      </c>
      <c r="O44" s="25" t="s">
        <v>23</v>
      </c>
      <c r="P44" s="25" t="s">
        <v>23</v>
      </c>
      <c r="Q44" s="25" t="s">
        <v>23</v>
      </c>
      <c r="R44" s="71" t="s">
        <v>23</v>
      </c>
    </row>
    <row r="45" spans="2:33" x14ac:dyDescent="0.3">
      <c r="B45" s="72">
        <v>0</v>
      </c>
      <c r="C45" s="27">
        <f t="shared" ref="C45:C76" si="0">Ydo-CourseVérTab</f>
        <v>425</v>
      </c>
      <c r="D45" s="31">
        <f t="shared" ref="D45:D76" si="1">2*(YdTab-Yb)*AD</f>
        <v>76500</v>
      </c>
      <c r="E45" s="31">
        <f t="shared" ref="E45:E76" si="2">2*Xb*AD</f>
        <v>42000</v>
      </c>
      <c r="F45" s="31">
        <f t="shared" ref="F45:F76" si="3">AD^2+Xb^2+(YdTab-Yb)^2-BA^2</f>
        <v>76500</v>
      </c>
      <c r="G45" s="32" t="b">
        <f t="shared" ref="G45:G76" si="4">a_1Tab^2+b_1Tab^2&gt;=c_1Tab^2</f>
        <v>1</v>
      </c>
      <c r="H45" s="79">
        <f t="shared" ref="H45:H76" si="5">ASIN((b_1Tab*c_1Tab+a_1Tab*SQRT(a_1Tab^2+b_1Tab^2-c_1Tab^2))/(a_1Tab^2+b_1Tab^2))</f>
        <v>1.0041803980439883</v>
      </c>
      <c r="I45" s="79">
        <f t="shared" ref="I45:I76" si="6">ASIN(  (Xb-AD*SIN(θTab) ) / BA )</f>
        <v>7.688518004237592E-2</v>
      </c>
      <c r="J45" s="80">
        <f t="shared" ref="J45:J76" si="7">Xb-BA*SIN(δTab)</f>
        <v>126.55834564254063</v>
      </c>
      <c r="K45" s="80">
        <f t="shared" ref="K45:K76" si="8">Yb+BA*COS(δTab)</f>
        <v>344.48301329394388</v>
      </c>
      <c r="L45" s="81">
        <f t="shared" ref="L45:L76" si="9">Xb+Yb*SIN(δTab)</f>
        <v>153.0576070901034</v>
      </c>
      <c r="M45" s="81">
        <v>0</v>
      </c>
      <c r="N45" s="43">
        <f t="shared" ref="N45:N76" si="10">Xco-XcTab</f>
        <v>0</v>
      </c>
      <c r="O45" s="27">
        <f t="shared" ref="O45:O76" si="11">(Fv*((XcTab-Xb)*TAN(δTab)+YaTab)*TAN(θTab)+Fv*(XaTab-Xb))/((2*XcTab-2*Xb)*TAN(δTab)+2*Yb)</f>
        <v>-154.85000273185321</v>
      </c>
      <c r="P45" s="27">
        <f t="shared" ref="P45:P76" si="12">-(Fv*(Yb-YaTab)*TAN(δTab)*TAN(θTab)+Fv*((XcTab-XaTab)*TAN(δTab)+Yb))/((2*XcTab-2*Xb)*TAN(δTab)+2*Yb)</f>
        <v>44.125238869021864</v>
      </c>
      <c r="Q45" s="27">
        <f t="shared" ref="Q45:Q76" si="13">(Fv*(Yb-YaTab)*TAN(θTab)+Fv*(Xb-XaTab))/((2*XcTab-2*Xb)*TAN(δTab)+2*Yb)</f>
        <v>76.258918527120088</v>
      </c>
      <c r="R45" s="73">
        <f t="shared" ref="R45:R76" si="14">-XRcTab</f>
        <v>-76.258918527120088</v>
      </c>
    </row>
    <row r="46" spans="2:33" x14ac:dyDescent="0.3">
      <c r="B46" s="74">
        <f t="shared" ref="B46:B77" si="15">B45+CvMaxTab/100</f>
        <v>0.80285947903438515</v>
      </c>
      <c r="C46" s="26">
        <f t="shared" si="0"/>
        <v>424.1971405209656</v>
      </c>
      <c r="D46" s="34">
        <f t="shared" si="1"/>
        <v>76259.142156289687</v>
      </c>
      <c r="E46" s="34">
        <f t="shared" si="2"/>
        <v>42000</v>
      </c>
      <c r="F46" s="34">
        <f t="shared" si="3"/>
        <v>76091.186249035527</v>
      </c>
      <c r="G46" s="35" t="b">
        <f t="shared" si="4"/>
        <v>1</v>
      </c>
      <c r="H46" s="33">
        <f t="shared" si="5"/>
        <v>1.0108278189696325</v>
      </c>
      <c r="I46" s="36">
        <f t="shared" si="6"/>
        <v>7.3834061040285476E-2</v>
      </c>
      <c r="J46" s="39">
        <f t="shared" si="7"/>
        <v>127.09077582027599</v>
      </c>
      <c r="K46" s="39">
        <f t="shared" si="8"/>
        <v>344.52321315824327</v>
      </c>
      <c r="L46" s="42">
        <f t="shared" si="9"/>
        <v>152.54038920316046</v>
      </c>
      <c r="M46" s="42">
        <v>0</v>
      </c>
      <c r="N46" s="43">
        <f t="shared" si="10"/>
        <v>0.51721788694294446</v>
      </c>
      <c r="O46" s="27">
        <f t="shared" si="11"/>
        <v>-157.41516471771646</v>
      </c>
      <c r="P46" s="27">
        <f t="shared" si="12"/>
        <v>44.255726727617763</v>
      </c>
      <c r="Q46" s="27">
        <f t="shared" si="13"/>
        <v>77.658348387021192</v>
      </c>
      <c r="R46" s="73">
        <f t="shared" si="14"/>
        <v>-77.658348387021192</v>
      </c>
    </row>
    <row r="47" spans="2:33" x14ac:dyDescent="0.3">
      <c r="B47" s="74">
        <f t="shared" si="15"/>
        <v>1.6057189580687703</v>
      </c>
      <c r="C47" s="26">
        <f t="shared" si="0"/>
        <v>423.39428104193121</v>
      </c>
      <c r="D47" s="34">
        <f t="shared" si="1"/>
        <v>76018.284312579359</v>
      </c>
      <c r="E47" s="34">
        <f t="shared" si="2"/>
        <v>42000</v>
      </c>
      <c r="F47" s="34">
        <f t="shared" si="3"/>
        <v>75683.661664757208</v>
      </c>
      <c r="G47" s="35" t="b">
        <f t="shared" si="4"/>
        <v>1</v>
      </c>
      <c r="H47" s="33">
        <f t="shared" si="5"/>
        <v>1.0174297393917013</v>
      </c>
      <c r="I47" s="36">
        <f t="shared" si="6"/>
        <v>7.0836349502208157E-2</v>
      </c>
      <c r="J47" s="39">
        <f t="shared" si="7"/>
        <v>127.61400328933694</v>
      </c>
      <c r="K47" s="39">
        <f t="shared" si="8"/>
        <v>344.56112707439604</v>
      </c>
      <c r="L47" s="42">
        <f t="shared" si="9"/>
        <v>152.0321110903584</v>
      </c>
      <c r="M47" s="42">
        <v>0</v>
      </c>
      <c r="N47" s="43">
        <f t="shared" si="10"/>
        <v>1.0254959997450044</v>
      </c>
      <c r="O47" s="27">
        <f t="shared" si="11"/>
        <v>-160.01017703219051</v>
      </c>
      <c r="P47" s="27">
        <f t="shared" si="12"/>
        <v>44.389520391111539</v>
      </c>
      <c r="Q47" s="27">
        <f t="shared" si="13"/>
        <v>79.070878737788576</v>
      </c>
      <c r="R47" s="73">
        <f t="shared" si="14"/>
        <v>-79.070878737788576</v>
      </c>
    </row>
    <row r="48" spans="2:33" ht="14.4" customHeight="1" x14ac:dyDescent="0.3">
      <c r="B48" s="74">
        <f t="shared" si="15"/>
        <v>2.4085784371031553</v>
      </c>
      <c r="C48" s="26">
        <f t="shared" si="0"/>
        <v>422.59142156289687</v>
      </c>
      <c r="D48" s="34">
        <f t="shared" si="1"/>
        <v>75777.42646886906</v>
      </c>
      <c r="E48" s="34">
        <f t="shared" si="2"/>
        <v>42000</v>
      </c>
      <c r="F48" s="34">
        <f t="shared" si="3"/>
        <v>75277.426247165073</v>
      </c>
      <c r="G48" s="35" t="b">
        <f t="shared" si="4"/>
        <v>1</v>
      </c>
      <c r="H48" s="33">
        <f t="shared" si="5"/>
        <v>1.0239877758032263</v>
      </c>
      <c r="I48" s="36">
        <f t="shared" si="6"/>
        <v>6.7890734893829935E-2</v>
      </c>
      <c r="J48" s="39">
        <f t="shared" si="7"/>
        <v>128.12824608614076</v>
      </c>
      <c r="K48" s="39">
        <f t="shared" si="8"/>
        <v>344.5968540925316</v>
      </c>
      <c r="L48" s="42">
        <f t="shared" si="9"/>
        <v>151.53256094489183</v>
      </c>
      <c r="M48" s="42">
        <v>0</v>
      </c>
      <c r="N48" s="43">
        <f t="shared" si="10"/>
        <v>1.5250461452115758</v>
      </c>
      <c r="O48" s="27">
        <f t="shared" si="11"/>
        <v>-162.63649200512063</v>
      </c>
      <c r="P48" s="27">
        <f t="shared" si="12"/>
        <v>44.526568619240614</v>
      </c>
      <c r="Q48" s="27">
        <f t="shared" si="13"/>
        <v>80.497280107558481</v>
      </c>
      <c r="R48" s="73">
        <f t="shared" si="14"/>
        <v>-80.497280107558481</v>
      </c>
    </row>
    <row r="49" spans="2:18" x14ac:dyDescent="0.3">
      <c r="B49" s="74">
        <f t="shared" si="15"/>
        <v>3.2114379161375406</v>
      </c>
      <c r="C49" s="26">
        <f t="shared" si="0"/>
        <v>421.78856208386247</v>
      </c>
      <c r="D49" s="34">
        <f t="shared" si="1"/>
        <v>75536.568625158747</v>
      </c>
      <c r="E49" s="34">
        <f t="shared" si="2"/>
        <v>42000</v>
      </c>
      <c r="F49" s="34">
        <f t="shared" si="3"/>
        <v>74872.479996259062</v>
      </c>
      <c r="G49" s="35" t="b">
        <f t="shared" si="4"/>
        <v>1</v>
      </c>
      <c r="H49" s="33">
        <f t="shared" si="5"/>
        <v>1.0305034671330755</v>
      </c>
      <c r="I49" s="36">
        <f t="shared" si="6"/>
        <v>6.4995974185454788E-2</v>
      </c>
      <c r="J49" s="39">
        <f t="shared" si="7"/>
        <v>128.63371123378118</v>
      </c>
      <c r="K49" s="39">
        <f t="shared" si="8"/>
        <v>344.63048840246347</v>
      </c>
      <c r="L49" s="42">
        <f t="shared" si="9"/>
        <v>151.04153765861255</v>
      </c>
      <c r="M49" s="42">
        <v>0</v>
      </c>
      <c r="N49" s="43">
        <f t="shared" si="10"/>
        <v>2.0160694314908483</v>
      </c>
      <c r="O49" s="27">
        <f t="shared" si="11"/>
        <v>-165.29560076667059</v>
      </c>
      <c r="P49" s="27">
        <f t="shared" si="12"/>
        <v>44.666825606099749</v>
      </c>
      <c r="Q49" s="27">
        <f t="shared" si="13"/>
        <v>81.938341379315133</v>
      </c>
      <c r="R49" s="73">
        <f t="shared" si="14"/>
        <v>-81.938341379315133</v>
      </c>
    </row>
    <row r="50" spans="2:18" x14ac:dyDescent="0.3">
      <c r="B50" s="74">
        <f t="shared" si="15"/>
        <v>4.0142973951719254</v>
      </c>
      <c r="C50" s="26">
        <f t="shared" si="0"/>
        <v>420.98570260482808</v>
      </c>
      <c r="D50" s="34">
        <f t="shared" si="1"/>
        <v>75295.710781448419</v>
      </c>
      <c r="E50" s="34">
        <f t="shared" si="2"/>
        <v>42000</v>
      </c>
      <c r="F50" s="34">
        <f t="shared" si="3"/>
        <v>74468.822912039206</v>
      </c>
      <c r="G50" s="35" t="b">
        <f t="shared" si="4"/>
        <v>1</v>
      </c>
      <c r="H50" s="33">
        <f t="shared" si="5"/>
        <v>1.0369782799956608</v>
      </c>
      <c r="I50" s="36">
        <f t="shared" si="6"/>
        <v>6.2150887335577693E-2</v>
      </c>
      <c r="J50" s="39">
        <f t="shared" si="7"/>
        <v>129.13059547193444</v>
      </c>
      <c r="K50" s="39">
        <f t="shared" si="8"/>
        <v>344.66211966309481</v>
      </c>
      <c r="L50" s="42">
        <f t="shared" si="9"/>
        <v>150.55885011297798</v>
      </c>
      <c r="M50" s="42">
        <v>0</v>
      </c>
      <c r="N50" s="43">
        <f t="shared" si="10"/>
        <v>2.4987569771254243</v>
      </c>
      <c r="O50" s="27">
        <f t="shared" si="11"/>
        <v>-167.98903665632764</v>
      </c>
      <c r="P50" s="27">
        <f t="shared" si="12"/>
        <v>44.810250805045925</v>
      </c>
      <c r="Q50" s="27">
        <f t="shared" si="13"/>
        <v>83.39487159301099</v>
      </c>
      <c r="R50" s="73">
        <f t="shared" si="14"/>
        <v>-83.39487159301099</v>
      </c>
    </row>
    <row r="51" spans="2:18" x14ac:dyDescent="0.3">
      <c r="B51" s="74">
        <f t="shared" si="15"/>
        <v>4.8171568742063107</v>
      </c>
      <c r="C51" s="26">
        <f t="shared" si="0"/>
        <v>420.18284312579368</v>
      </c>
      <c r="D51" s="34">
        <f t="shared" si="1"/>
        <v>75054.852937738106</v>
      </c>
      <c r="E51" s="34">
        <f t="shared" si="2"/>
        <v>42000</v>
      </c>
      <c r="F51" s="34">
        <f t="shared" si="3"/>
        <v>74066.45499450549</v>
      </c>
      <c r="G51" s="35" t="b">
        <f t="shared" si="4"/>
        <v>1</v>
      </c>
      <c r="H51" s="33">
        <f t="shared" si="5"/>
        <v>1.0434136134941239</v>
      </c>
      <c r="I51" s="36">
        <f t="shared" si="6"/>
        <v>5.9354353158578253E-2</v>
      </c>
      <c r="J51" s="39">
        <f t="shared" si="7"/>
        <v>129.61908592496258</v>
      </c>
      <c r="K51" s="39">
        <f t="shared" si="8"/>
        <v>344.6918333035826</v>
      </c>
      <c r="L51" s="42">
        <f t="shared" si="9"/>
        <v>150.08431653003635</v>
      </c>
      <c r="M51" s="42">
        <v>0</v>
      </c>
      <c r="N51" s="43">
        <f t="shared" si="10"/>
        <v>2.9732905600670563</v>
      </c>
      <c r="O51" s="27">
        <f t="shared" si="11"/>
        <v>-170.71837873551988</v>
      </c>
      <c r="P51" s="27">
        <f t="shared" si="12"/>
        <v>44.956808779167794</v>
      </c>
      <c r="Q51" s="27">
        <f t="shared" si="13"/>
        <v>84.867701793835991</v>
      </c>
      <c r="R51" s="73">
        <f t="shared" si="14"/>
        <v>-84.867701793835991</v>
      </c>
    </row>
    <row r="52" spans="2:18" x14ac:dyDescent="0.3">
      <c r="B52" s="74">
        <f t="shared" si="15"/>
        <v>5.6200163532406959</v>
      </c>
      <c r="C52" s="26">
        <f t="shared" si="0"/>
        <v>419.37998364675929</v>
      </c>
      <c r="D52" s="34">
        <f t="shared" si="1"/>
        <v>74813.995094027792</v>
      </c>
      <c r="E52" s="34">
        <f t="shared" si="2"/>
        <v>42000</v>
      </c>
      <c r="F52" s="34">
        <f t="shared" si="3"/>
        <v>73665.376243657927</v>
      </c>
      <c r="G52" s="35" t="b">
        <f t="shared" si="4"/>
        <v>1</v>
      </c>
      <c r="H52" s="33">
        <f t="shared" si="5"/>
        <v>1.0498108036225511</v>
      </c>
      <c r="I52" s="36">
        <f t="shared" si="6"/>
        <v>5.6605305537369068E-2</v>
      </c>
      <c r="J52" s="39">
        <f t="shared" si="7"/>
        <v>130.0993607144955</v>
      </c>
      <c r="K52" s="39">
        <f t="shared" si="8"/>
        <v>344.7197107991492</v>
      </c>
      <c r="L52" s="42">
        <f t="shared" si="9"/>
        <v>149.61776387734722</v>
      </c>
      <c r="M52" s="42">
        <v>0</v>
      </c>
      <c r="N52" s="43">
        <f t="shared" si="10"/>
        <v>3.4398432127561875</v>
      </c>
      <c r="O52" s="27">
        <f t="shared" si="11"/>
        <v>-173.48525542321295</v>
      </c>
      <c r="P52" s="27">
        <f t="shared" si="12"/>
        <v>45.106469075619884</v>
      </c>
      <c r="Q52" s="27">
        <f t="shared" si="13"/>
        <v>86.357686937063178</v>
      </c>
      <c r="R52" s="73">
        <f t="shared" si="14"/>
        <v>-86.357686937063178</v>
      </c>
    </row>
    <row r="53" spans="2:18" x14ac:dyDescent="0.3">
      <c r="B53" s="74">
        <f t="shared" si="15"/>
        <v>6.4228758322750812</v>
      </c>
      <c r="C53" s="26">
        <f t="shared" si="0"/>
        <v>418.57712416772495</v>
      </c>
      <c r="D53" s="34">
        <f t="shared" si="1"/>
        <v>74573.137250317479</v>
      </c>
      <c r="E53" s="34">
        <f t="shared" si="2"/>
        <v>42000</v>
      </c>
      <c r="F53" s="34">
        <f t="shared" si="3"/>
        <v>73265.586659496548</v>
      </c>
      <c r="G53" s="35" t="b">
        <f t="shared" si="4"/>
        <v>1</v>
      </c>
      <c r="H53" s="33">
        <f t="shared" si="5"/>
        <v>1.0561711273073757</v>
      </c>
      <c r="I53" s="36">
        <f t="shared" si="6"/>
        <v>5.3902729946473195E-2</v>
      </c>
      <c r="J53" s="39">
        <f t="shared" si="7"/>
        <v>130.57158952203105</v>
      </c>
      <c r="K53" s="39">
        <f t="shared" si="8"/>
        <v>344.74582992408978</v>
      </c>
      <c r="L53" s="42">
        <f t="shared" si="9"/>
        <v>149.15902732145554</v>
      </c>
      <c r="M53" s="42">
        <v>0</v>
      </c>
      <c r="N53" s="43">
        <f t="shared" si="10"/>
        <v>3.8985797686478634</v>
      </c>
      <c r="O53" s="27">
        <f t="shared" si="11"/>
        <v>-176.29134827416738</v>
      </c>
      <c r="P53" s="27">
        <f t="shared" si="12"/>
        <v>45.259206122394502</v>
      </c>
      <c r="Q53" s="27">
        <f t="shared" si="13"/>
        <v>87.86570785998255</v>
      </c>
      <c r="R53" s="73">
        <f t="shared" si="14"/>
        <v>-87.86570785998255</v>
      </c>
    </row>
    <row r="54" spans="2:18" x14ac:dyDescent="0.3">
      <c r="B54" s="74">
        <f t="shared" si="15"/>
        <v>7.2257353113094664</v>
      </c>
      <c r="C54" s="26">
        <f t="shared" si="0"/>
        <v>417.77426468869055</v>
      </c>
      <c r="D54" s="34">
        <f t="shared" si="1"/>
        <v>74332.279406607166</v>
      </c>
      <c r="E54" s="34">
        <f t="shared" si="2"/>
        <v>42000</v>
      </c>
      <c r="F54" s="34">
        <f t="shared" si="3"/>
        <v>72867.086242021294</v>
      </c>
      <c r="G54" s="35" t="b">
        <f t="shared" si="4"/>
        <v>1</v>
      </c>
      <c r="H54" s="33">
        <f t="shared" si="5"/>
        <v>1.0624958061234646</v>
      </c>
      <c r="I54" s="36">
        <f t="shared" si="6"/>
        <v>5.1245660255005772E-2</v>
      </c>
      <c r="J54" s="39">
        <f t="shared" si="7"/>
        <v>131.03593410645169</v>
      </c>
      <c r="K54" s="39">
        <f t="shared" si="8"/>
        <v>344.7702649842247</v>
      </c>
      <c r="L54" s="42">
        <f t="shared" si="9"/>
        <v>148.7079497251612</v>
      </c>
      <c r="M54" s="42">
        <v>0</v>
      </c>
      <c r="N54" s="43">
        <f t="shared" si="10"/>
        <v>4.3496573649422032</v>
      </c>
      <c r="O54" s="27">
        <f t="shared" si="11"/>
        <v>-179.13839592006943</v>
      </c>
      <c r="P54" s="27">
        <f t="shared" si="12"/>
        <v>45.414999146350134</v>
      </c>
      <c r="Q54" s="27">
        <f t="shared" si="13"/>
        <v>89.392673331642641</v>
      </c>
      <c r="R54" s="73">
        <f t="shared" si="14"/>
        <v>-89.392673331642641</v>
      </c>
    </row>
    <row r="55" spans="2:18" x14ac:dyDescent="0.3">
      <c r="B55" s="74">
        <f t="shared" si="15"/>
        <v>8.0285947903438508</v>
      </c>
      <c r="C55" s="26">
        <f t="shared" si="0"/>
        <v>416.97140520965615</v>
      </c>
      <c r="D55" s="34">
        <f t="shared" si="1"/>
        <v>74091.421562896852</v>
      </c>
      <c r="E55" s="34">
        <f t="shared" si="2"/>
        <v>42000</v>
      </c>
      <c r="F55" s="34">
        <f t="shared" si="3"/>
        <v>72469.87499123218</v>
      </c>
      <c r="G55" s="35" t="b">
        <f t="shared" si="4"/>
        <v>1</v>
      </c>
      <c r="H55" s="33">
        <f t="shared" si="5"/>
        <v>1.0687860097163153</v>
      </c>
      <c r="I55" s="36">
        <f t="shared" si="6"/>
        <v>4.8633175782532762E-2</v>
      </c>
      <c r="J55" s="39">
        <f t="shared" si="7"/>
        <v>131.4925487807966</v>
      </c>
      <c r="K55" s="39">
        <f t="shared" si="8"/>
        <v>344.79308703078868</v>
      </c>
      <c r="L55" s="42">
        <f t="shared" si="9"/>
        <v>148.26438118436903</v>
      </c>
      <c r="M55" s="42">
        <v>0</v>
      </c>
      <c r="N55" s="43">
        <f t="shared" si="10"/>
        <v>4.7932259057343742</v>
      </c>
      <c r="O55" s="27">
        <f t="shared" si="11"/>
        <v>-182.02819819448285</v>
      </c>
      <c r="P55" s="27">
        <f t="shared" si="12"/>
        <v>45.573832111535317</v>
      </c>
      <c r="Q55" s="27">
        <f t="shared" si="13"/>
        <v>90.93952219143398</v>
      </c>
      <c r="R55" s="73">
        <f t="shared" si="14"/>
        <v>-90.93952219143398</v>
      </c>
    </row>
    <row r="56" spans="2:18" x14ac:dyDescent="0.3">
      <c r="B56" s="74">
        <f t="shared" si="15"/>
        <v>8.8314542693782361</v>
      </c>
      <c r="C56" s="26">
        <f t="shared" si="0"/>
        <v>416.16854573062176</v>
      </c>
      <c r="D56" s="34">
        <f t="shared" si="1"/>
        <v>73850.563719186524</v>
      </c>
      <c r="E56" s="34">
        <f t="shared" si="2"/>
        <v>42000</v>
      </c>
      <c r="F56" s="34">
        <f t="shared" si="3"/>
        <v>72073.95290712922</v>
      </c>
      <c r="G56" s="35" t="b">
        <f t="shared" si="4"/>
        <v>1</v>
      </c>
      <c r="H56" s="33">
        <f t="shared" si="5"/>
        <v>1.0750428589582854</v>
      </c>
      <c r="I56" s="36">
        <f t="shared" si="6"/>
        <v>4.6064398583797232E-2</v>
      </c>
      <c r="J56" s="39">
        <f t="shared" si="7"/>
        <v>131.94158085214434</v>
      </c>
      <c r="K56" s="39">
        <f t="shared" si="8"/>
        <v>344.81436405752663</v>
      </c>
      <c r="L56" s="42">
        <f t="shared" si="9"/>
        <v>147.82817860077407</v>
      </c>
      <c r="M56" s="42">
        <v>0</v>
      </c>
      <c r="N56" s="43">
        <f t="shared" si="10"/>
        <v>5.2294284893293366</v>
      </c>
      <c r="O56" s="27">
        <f t="shared" si="11"/>
        <v>-184.96262046353232</v>
      </c>
      <c r="P56" s="27">
        <f t="shared" si="12"/>
        <v>45.735693677048495</v>
      </c>
      <c r="Q56" s="27">
        <f t="shared" si="13"/>
        <v>92.507225587989652</v>
      </c>
      <c r="R56" s="73">
        <f t="shared" si="14"/>
        <v>-92.507225587989652</v>
      </c>
    </row>
    <row r="57" spans="2:18" x14ac:dyDescent="0.3">
      <c r="B57" s="74">
        <f t="shared" si="15"/>
        <v>9.6343137484126213</v>
      </c>
      <c r="C57" s="26">
        <f t="shared" si="0"/>
        <v>415.36568625158736</v>
      </c>
      <c r="D57" s="34">
        <f t="shared" si="1"/>
        <v>73609.705875476211</v>
      </c>
      <c r="E57" s="34">
        <f t="shared" si="2"/>
        <v>42000</v>
      </c>
      <c r="F57" s="34">
        <f t="shared" si="3"/>
        <v>71679.319989712414</v>
      </c>
      <c r="G57" s="35" t="b">
        <f t="shared" si="4"/>
        <v>1</v>
      </c>
      <c r="H57" s="33">
        <f t="shared" si="5"/>
        <v>1.081267428863679</v>
      </c>
      <c r="I57" s="36">
        <f t="shared" si="6"/>
        <v>4.35384909409628E-2</v>
      </c>
      <c r="J57" s="39">
        <f t="shared" si="7"/>
        <v>132.38317102803572</v>
      </c>
      <c r="K57" s="39">
        <f t="shared" si="8"/>
        <v>344.83416118256707</v>
      </c>
      <c r="L57" s="42">
        <f t="shared" si="9"/>
        <v>147.39920528705102</v>
      </c>
      <c r="M57" s="42">
        <v>0</v>
      </c>
      <c r="N57" s="43">
        <f t="shared" si="10"/>
        <v>5.658401803052385</v>
      </c>
      <c r="O57" s="27">
        <f t="shared" si="11"/>
        <v>-187.94359818539181</v>
      </c>
      <c r="P57" s="27">
        <f t="shared" si="12"/>
        <v>45.900577173860391</v>
      </c>
      <c r="Q57" s="27">
        <f t="shared" si="13"/>
        <v>94.096789330423078</v>
      </c>
      <c r="R57" s="73">
        <f t="shared" si="14"/>
        <v>-94.096789330423078</v>
      </c>
    </row>
    <row r="58" spans="2:18" x14ac:dyDescent="0.3">
      <c r="B58" s="74">
        <f t="shared" si="15"/>
        <v>10.437173227447007</v>
      </c>
      <c r="C58" s="26">
        <f t="shared" si="0"/>
        <v>414.56282677255297</v>
      </c>
      <c r="D58" s="34">
        <f t="shared" si="1"/>
        <v>73368.848031765883</v>
      </c>
      <c r="E58" s="34">
        <f t="shared" si="2"/>
        <v>42000</v>
      </c>
      <c r="F58" s="34">
        <f t="shared" si="3"/>
        <v>71285.976238981748</v>
      </c>
      <c r="G58" s="35" t="b">
        <f t="shared" si="4"/>
        <v>1</v>
      </c>
      <c r="H58" s="33">
        <f t="shared" si="5"/>
        <v>1.0874607512848271</v>
      </c>
      <c r="I58" s="36">
        <f t="shared" si="6"/>
        <v>4.1054653044331868E-2</v>
      </c>
      <c r="J58" s="39">
        <f t="shared" si="7"/>
        <v>132.81745379249614</v>
      </c>
      <c r="K58" s="39">
        <f t="shared" si="8"/>
        <v>344.85254081647508</v>
      </c>
      <c r="L58" s="42">
        <f t="shared" si="9"/>
        <v>146.97733060157518</v>
      </c>
      <c r="M58" s="42">
        <v>0</v>
      </c>
      <c r="N58" s="43">
        <f t="shared" si="10"/>
        <v>6.0802764885282272</v>
      </c>
      <c r="O58" s="27">
        <f t="shared" si="11"/>
        <v>-190.97314172304669</v>
      </c>
      <c r="P58" s="27">
        <f t="shared" si="12"/>
        <v>46.068480600198676</v>
      </c>
      <c r="Q58" s="27">
        <f t="shared" si="13"/>
        <v>95.709256364593273</v>
      </c>
      <c r="R58" s="73">
        <f t="shared" si="14"/>
        <v>-95.709256364593273</v>
      </c>
    </row>
    <row r="59" spans="2:18" x14ac:dyDescent="0.3">
      <c r="B59" s="74">
        <f t="shared" si="15"/>
        <v>11.240032706481392</v>
      </c>
      <c r="C59" s="26">
        <f t="shared" si="0"/>
        <v>413.75996729351863</v>
      </c>
      <c r="D59" s="34">
        <f t="shared" si="1"/>
        <v>73127.990188055584</v>
      </c>
      <c r="E59" s="34">
        <f t="shared" si="2"/>
        <v>42000</v>
      </c>
      <c r="F59" s="34">
        <f t="shared" si="3"/>
        <v>70893.921654937265</v>
      </c>
      <c r="G59" s="35" t="b">
        <f t="shared" si="4"/>
        <v>1</v>
      </c>
      <c r="H59" s="33">
        <f t="shared" si="5"/>
        <v>1.0936238174089317</v>
      </c>
      <c r="I59" s="36">
        <f t="shared" si="6"/>
        <v>3.8612120844533873E-2</v>
      </c>
      <c r="J59" s="39">
        <f t="shared" si="7"/>
        <v>133.24455775439054</v>
      </c>
      <c r="K59" s="39">
        <f t="shared" si="8"/>
        <v>344.86956281773632</v>
      </c>
      <c r="L59" s="42">
        <f t="shared" si="9"/>
        <v>146.56242961002062</v>
      </c>
      <c r="M59" s="42">
        <v>0</v>
      </c>
      <c r="N59" s="43">
        <f t="shared" si="10"/>
        <v>6.4951774800827877</v>
      </c>
      <c r="O59" s="27">
        <f t="shared" si="11"/>
        <v>-194.05334143642585</v>
      </c>
      <c r="P59" s="27">
        <f t="shared" si="12"/>
        <v>46.239406635258078</v>
      </c>
      <c r="Q59" s="27">
        <f t="shared" si="13"/>
        <v>97.345709387878884</v>
      </c>
      <c r="R59" s="73">
        <f t="shared" si="14"/>
        <v>-97.345709387878884</v>
      </c>
    </row>
    <row r="60" spans="2:18" x14ac:dyDescent="0.3">
      <c r="B60" s="74">
        <f t="shared" si="15"/>
        <v>12.042892185515777</v>
      </c>
      <c r="C60" s="26">
        <f t="shared" si="0"/>
        <v>412.95710781448423</v>
      </c>
      <c r="D60" s="34">
        <f t="shared" si="1"/>
        <v>72887.132344345271</v>
      </c>
      <c r="E60" s="34">
        <f t="shared" si="2"/>
        <v>42000</v>
      </c>
      <c r="F60" s="34">
        <f t="shared" si="3"/>
        <v>70503.156237578922</v>
      </c>
      <c r="G60" s="35" t="b">
        <f t="shared" si="4"/>
        <v>1</v>
      </c>
      <c r="H60" s="33">
        <f t="shared" si="5"/>
        <v>1.0997575800733854</v>
      </c>
      <c r="I60" s="36">
        <f t="shared" si="6"/>
        <v>3.6210164060951469E-2</v>
      </c>
      <c r="J60" s="39">
        <f t="shared" si="7"/>
        <v>133.66460597055973</v>
      </c>
      <c r="K60" s="39">
        <f t="shared" si="8"/>
        <v>344.88528463679194</v>
      </c>
      <c r="L60" s="42">
        <f t="shared" si="9"/>
        <v>146.15438277145626</v>
      </c>
      <c r="M60" s="42">
        <v>0</v>
      </c>
      <c r="N60" s="43">
        <f t="shared" si="10"/>
        <v>6.9032243186471476</v>
      </c>
      <c r="O60" s="27">
        <f t="shared" si="11"/>
        <v>-197.18637308189196</v>
      </c>
      <c r="P60" s="27">
        <f t="shared" si="12"/>
        <v>46.413362671157977</v>
      </c>
      <c r="Q60" s="27">
        <f t="shared" si="13"/>
        <v>99.007273616870762</v>
      </c>
      <c r="R60" s="73">
        <f t="shared" si="14"/>
        <v>-99.007273616870762</v>
      </c>
    </row>
    <row r="61" spans="2:18" x14ac:dyDescent="0.3">
      <c r="B61" s="74">
        <f t="shared" si="15"/>
        <v>12.845751664550162</v>
      </c>
      <c r="C61" s="26">
        <f t="shared" si="0"/>
        <v>412.15424833544984</v>
      </c>
      <c r="D61" s="34">
        <f t="shared" si="1"/>
        <v>72646.274500634958</v>
      </c>
      <c r="E61" s="34">
        <f t="shared" si="2"/>
        <v>42000</v>
      </c>
      <c r="F61" s="34">
        <f t="shared" si="3"/>
        <v>70113.679986906704</v>
      </c>
      <c r="G61" s="35" t="b">
        <f t="shared" si="4"/>
        <v>1</v>
      </c>
      <c r="H61" s="33">
        <f t="shared" si="5"/>
        <v>1.1058629559154161</v>
      </c>
      <c r="I61" s="36">
        <f t="shared" si="6"/>
        <v>3.3848084332741613E-2</v>
      </c>
      <c r="J61" s="39">
        <f t="shared" si="7"/>
        <v>134.07771624593192</v>
      </c>
      <c r="K61" s="39">
        <f t="shared" si="8"/>
        <v>344.89976144962662</v>
      </c>
      <c r="L61" s="42">
        <f t="shared" si="9"/>
        <v>145.75307564680898</v>
      </c>
      <c r="M61" s="42">
        <v>0</v>
      </c>
      <c r="N61" s="43">
        <f t="shared" si="10"/>
        <v>7.3045314432944224</v>
      </c>
      <c r="O61" s="27">
        <f t="shared" si="11"/>
        <v>-200.37450354920713</v>
      </c>
      <c r="P61" s="27">
        <f t="shared" si="12"/>
        <v>46.590360863220162</v>
      </c>
      <c r="Q61" s="27">
        <f t="shared" si="13"/>
        <v>100.69511972344588</v>
      </c>
      <c r="R61" s="73">
        <f t="shared" si="14"/>
        <v>-100.69511972344588</v>
      </c>
    </row>
    <row r="62" spans="2:18" x14ac:dyDescent="0.3">
      <c r="B62" s="74">
        <f t="shared" si="15"/>
        <v>13.648611143584548</v>
      </c>
      <c r="C62" s="26">
        <f t="shared" si="0"/>
        <v>411.35138885641544</v>
      </c>
      <c r="D62" s="34">
        <f t="shared" si="1"/>
        <v>72405.41665692463</v>
      </c>
      <c r="E62" s="34">
        <f t="shared" si="2"/>
        <v>42000</v>
      </c>
      <c r="F62" s="34">
        <f t="shared" si="3"/>
        <v>69725.492902920654</v>
      </c>
      <c r="G62" s="35" t="b">
        <f t="shared" si="4"/>
        <v>1</v>
      </c>
      <c r="H62" s="33">
        <f t="shared" si="5"/>
        <v>1.1119408273703277</v>
      </c>
      <c r="I62" s="36">
        <f t="shared" si="6"/>
        <v>3.1525213500180643E-2</v>
      </c>
      <c r="J62" s="39">
        <f t="shared" si="7"/>
        <v>134.48400141258347</v>
      </c>
      <c r="K62" s="39">
        <f t="shared" si="8"/>
        <v>344.91304628181285</v>
      </c>
      <c r="L62" s="42">
        <f t="shared" si="9"/>
        <v>145.35839862777607</v>
      </c>
      <c r="M62" s="42">
        <v>0</v>
      </c>
      <c r="N62" s="43">
        <f t="shared" si="10"/>
        <v>7.6992084623273342</v>
      </c>
      <c r="O62" s="27">
        <f t="shared" si="11"/>
        <v>-203.62009696856106</v>
      </c>
      <c r="P62" s="27">
        <f t="shared" si="12"/>
        <v>46.770418198792683</v>
      </c>
      <c r="Q62" s="27">
        <f t="shared" si="13"/>
        <v>102.41046695591169</v>
      </c>
      <c r="R62" s="73">
        <f t="shared" si="14"/>
        <v>-102.41046695591169</v>
      </c>
    </row>
    <row r="63" spans="2:18" x14ac:dyDescent="0.3">
      <c r="B63" s="74">
        <f t="shared" si="15"/>
        <v>14.451470622618933</v>
      </c>
      <c r="C63" s="26">
        <f t="shared" si="0"/>
        <v>410.54852937738104</v>
      </c>
      <c r="D63" s="34">
        <f t="shared" si="1"/>
        <v>72164.558813214317</v>
      </c>
      <c r="E63" s="34">
        <f t="shared" si="2"/>
        <v>42000</v>
      </c>
      <c r="F63" s="34">
        <f t="shared" si="3"/>
        <v>69338.594985620759</v>
      </c>
      <c r="G63" s="35" t="b">
        <f t="shared" si="4"/>
        <v>1</v>
      </c>
      <c r="H63" s="33">
        <f t="shared" si="5"/>
        <v>1.1179920445311629</v>
      </c>
      <c r="I63" s="36">
        <f t="shared" si="6"/>
        <v>2.9240912005297374E-2</v>
      </c>
      <c r="J63" s="39">
        <f t="shared" si="7"/>
        <v>134.88356958952451</v>
      </c>
      <c r="K63" s="39">
        <f t="shared" si="8"/>
        <v>344.92519012382053</v>
      </c>
      <c r="L63" s="42">
        <f t="shared" si="9"/>
        <v>144.9702466844619</v>
      </c>
      <c r="M63" s="42">
        <v>0</v>
      </c>
      <c r="N63" s="43">
        <f t="shared" si="10"/>
        <v>8.0873604056415047</v>
      </c>
      <c r="O63" s="27">
        <f t="shared" si="11"/>
        <v>-206.92562122299873</v>
      </c>
      <c r="P63" s="27">
        <f t="shared" si="12"/>
        <v>46.953556584994807</v>
      </c>
      <c r="Q63" s="27">
        <f t="shared" si="13"/>
        <v>104.15458646328393</v>
      </c>
      <c r="R63" s="73">
        <f t="shared" si="14"/>
        <v>-104.15458646328393</v>
      </c>
    </row>
    <row r="64" spans="2:18" x14ac:dyDescent="0.3">
      <c r="B64" s="74">
        <f t="shared" si="15"/>
        <v>15.254330101653318</v>
      </c>
      <c r="C64" s="26">
        <f t="shared" si="0"/>
        <v>409.7456698983467</v>
      </c>
      <c r="D64" s="34">
        <f t="shared" si="1"/>
        <v>71923.700969504018</v>
      </c>
      <c r="E64" s="34">
        <f t="shared" si="2"/>
        <v>42000</v>
      </c>
      <c r="F64" s="34">
        <f t="shared" si="3"/>
        <v>68952.986235007033</v>
      </c>
      <c r="G64" s="35" t="b">
        <f t="shared" si="4"/>
        <v>1</v>
      </c>
      <c r="H64" s="33">
        <f t="shared" si="5"/>
        <v>1.1240174268813399</v>
      </c>
      <c r="I64" s="36">
        <f t="shared" si="6"/>
        <v>2.6994567401847795E-2</v>
      </c>
      <c r="J64" s="39">
        <f t="shared" si="7"/>
        <v>135.27652442481042</v>
      </c>
      <c r="K64" s="39">
        <f t="shared" si="8"/>
        <v>344.93624203832258</v>
      </c>
      <c r="L64" s="42">
        <f t="shared" si="9"/>
        <v>144.58851913018415</v>
      </c>
      <c r="M64" s="42">
        <v>0</v>
      </c>
      <c r="N64" s="43">
        <f t="shared" si="10"/>
        <v>8.4690879599192499</v>
      </c>
      <c r="O64" s="27">
        <f t="shared" si="11"/>
        <v>-210.29365490470877</v>
      </c>
      <c r="P64" s="27">
        <f t="shared" si="12"/>
        <v>47.139802955912828</v>
      </c>
      <c r="Q64" s="27">
        <f t="shared" si="13"/>
        <v>105.92880484232148</v>
      </c>
      <c r="R64" s="73">
        <f t="shared" si="14"/>
        <v>-105.92880484232148</v>
      </c>
    </row>
    <row r="65" spans="2:18" x14ac:dyDescent="0.3">
      <c r="B65" s="74">
        <f t="shared" si="15"/>
        <v>16.057189580687702</v>
      </c>
      <c r="C65" s="26">
        <f t="shared" si="0"/>
        <v>408.94281041931231</v>
      </c>
      <c r="D65" s="34">
        <f t="shared" si="1"/>
        <v>71682.84312579369</v>
      </c>
      <c r="E65" s="34">
        <f t="shared" si="2"/>
        <v>42000</v>
      </c>
      <c r="F65" s="34">
        <f t="shared" si="3"/>
        <v>68568.666651079431</v>
      </c>
      <c r="G65" s="35" t="b">
        <f t="shared" si="4"/>
        <v>1</v>
      </c>
      <c r="H65" s="33">
        <f t="shared" si="5"/>
        <v>1.1300177649107157</v>
      </c>
      <c r="I65" s="36">
        <f t="shared" si="6"/>
        <v>2.4785592965643748E-2</v>
      </c>
      <c r="J65" s="39">
        <f t="shared" si="7"/>
        <v>135.66296532142601</v>
      </c>
      <c r="K65" s="39">
        <f t="shared" si="8"/>
        <v>344.94624926015661</v>
      </c>
      <c r="L65" s="42">
        <f t="shared" si="9"/>
        <v>144.2131194020433</v>
      </c>
      <c r="M65" s="42">
        <v>0</v>
      </c>
      <c r="N65" s="43">
        <f t="shared" si="10"/>
        <v>8.8444876880600987</v>
      </c>
      <c r="O65" s="27">
        <f t="shared" si="11"/>
        <v>-213.72689475715151</v>
      </c>
      <c r="P65" s="27">
        <f t="shared" si="12"/>
        <v>47.329189399933426</v>
      </c>
      <c r="Q65" s="27">
        <f t="shared" si="13"/>
        <v>107.73450792870928</v>
      </c>
      <c r="R65" s="73">
        <f t="shared" si="14"/>
        <v>-107.73450792870928</v>
      </c>
    </row>
    <row r="66" spans="2:18" x14ac:dyDescent="0.3">
      <c r="B66" s="74">
        <f t="shared" si="15"/>
        <v>16.860049059722087</v>
      </c>
      <c r="C66" s="26">
        <f t="shared" si="0"/>
        <v>408.13995094027791</v>
      </c>
      <c r="D66" s="34">
        <f t="shared" si="1"/>
        <v>71441.985282083377</v>
      </c>
      <c r="E66" s="34">
        <f t="shared" si="2"/>
        <v>42000</v>
      </c>
      <c r="F66" s="34">
        <f t="shared" si="3"/>
        <v>68185.636233837969</v>
      </c>
      <c r="G66" s="35" t="b">
        <f t="shared" si="4"/>
        <v>1</v>
      </c>
      <c r="H66" s="33">
        <f t="shared" si="5"/>
        <v>1.1359938216245085</v>
      </c>
      <c r="I66" s="36">
        <f t="shared" si="6"/>
        <v>2.2613426397114791E-2</v>
      </c>
      <c r="J66" s="39">
        <f t="shared" si="7"/>
        <v>136.04298764825046</v>
      </c>
      <c r="K66" s="39">
        <f t="shared" si="8"/>
        <v>344.95525728953703</v>
      </c>
      <c r="L66" s="42">
        <f t="shared" si="9"/>
        <v>143.84395485598526</v>
      </c>
      <c r="M66" s="42">
        <v>0</v>
      </c>
      <c r="N66" s="43">
        <f t="shared" si="10"/>
        <v>9.2136522341181433</v>
      </c>
      <c r="O66" s="27">
        <f t="shared" si="11"/>
        <v>-217.22816364895232</v>
      </c>
      <c r="P66" s="27">
        <f t="shared" si="12"/>
        <v>47.521753308065819</v>
      </c>
      <c r="Q66" s="27">
        <f t="shared" si="13"/>
        <v>109.57314485576129</v>
      </c>
      <c r="R66" s="73">
        <f t="shared" si="14"/>
        <v>-109.57314485576129</v>
      </c>
    </row>
    <row r="67" spans="2:18" x14ac:dyDescent="0.3">
      <c r="B67" s="74">
        <f t="shared" si="15"/>
        <v>17.662908538756472</v>
      </c>
      <c r="C67" s="26">
        <f t="shared" si="0"/>
        <v>407.33709146124352</v>
      </c>
      <c r="D67" s="34">
        <f t="shared" si="1"/>
        <v>71201.127438373049</v>
      </c>
      <c r="E67" s="34">
        <f t="shared" si="2"/>
        <v>42000</v>
      </c>
      <c r="F67" s="34">
        <f t="shared" si="3"/>
        <v>67803.894983282662</v>
      </c>
      <c r="G67" s="35" t="b">
        <f t="shared" si="4"/>
        <v>1</v>
      </c>
      <c r="H67" s="33">
        <f t="shared" si="5"/>
        <v>1.1419463339536251</v>
      </c>
      <c r="I67" s="36">
        <f t="shared" si="6"/>
        <v>2.0477528608744175E-2</v>
      </c>
      <c r="J67" s="39">
        <f t="shared" si="7"/>
        <v>136.41668293728821</v>
      </c>
      <c r="K67" s="39">
        <f t="shared" si="8"/>
        <v>344.96330997905841</v>
      </c>
      <c r="L67" s="42">
        <f t="shared" si="9"/>
        <v>143.48093657520573</v>
      </c>
      <c r="M67" s="42">
        <v>0</v>
      </c>
      <c r="N67" s="43">
        <f t="shared" si="10"/>
        <v>9.5766705148976712</v>
      </c>
      <c r="O67" s="27">
        <f t="shared" si="11"/>
        <v>-220.8004191299222</v>
      </c>
      <c r="P67" s="27">
        <f t="shared" si="12"/>
        <v>47.717537544276816</v>
      </c>
      <c r="Q67" s="27">
        <f t="shared" si="13"/>
        <v>111.44623240624983</v>
      </c>
      <c r="R67" s="73">
        <f t="shared" si="14"/>
        <v>-111.44623240624983</v>
      </c>
    </row>
    <row r="68" spans="2:18" x14ac:dyDescent="0.3">
      <c r="B68" s="74">
        <f t="shared" si="15"/>
        <v>18.465768017790857</v>
      </c>
      <c r="C68" s="26">
        <f t="shared" si="0"/>
        <v>406.53423198220912</v>
      </c>
      <c r="D68" s="34">
        <f t="shared" si="1"/>
        <v>70960.269594662735</v>
      </c>
      <c r="E68" s="34">
        <f t="shared" si="2"/>
        <v>42000</v>
      </c>
      <c r="F68" s="34">
        <f t="shared" si="3"/>
        <v>67423.442899413523</v>
      </c>
      <c r="G68" s="35" t="b">
        <f t="shared" si="4"/>
        <v>1</v>
      </c>
      <c r="H68" s="33">
        <f t="shared" si="5"/>
        <v>1.1478760140741646</v>
      </c>
      <c r="I68" s="36">
        <f t="shared" si="6"/>
        <v>1.8377382590701551E-2</v>
      </c>
      <c r="J68" s="39">
        <f t="shared" si="7"/>
        <v>136.78413906824218</v>
      </c>
      <c r="K68" s="39">
        <f t="shared" si="8"/>
        <v>344.97044961497807</v>
      </c>
      <c r="L68" s="42">
        <f t="shared" si="9"/>
        <v>143.12397919085046</v>
      </c>
      <c r="M68" s="42">
        <v>0</v>
      </c>
      <c r="N68" s="43">
        <f t="shared" si="10"/>
        <v>9.9336278992529401</v>
      </c>
      <c r="O68" s="27">
        <f t="shared" si="11"/>
        <v>-224.44676262456957</v>
      </c>
      <c r="P68" s="27">
        <f t="shared" si="12"/>
        <v>47.916590639047527</v>
      </c>
      <c r="Q68" s="27">
        <f t="shared" si="13"/>
        <v>113.35535968548596</v>
      </c>
      <c r="R68" s="73">
        <f t="shared" si="14"/>
        <v>-113.35535968548596</v>
      </c>
    </row>
    <row r="69" spans="2:18" x14ac:dyDescent="0.3">
      <c r="B69" s="74">
        <f t="shared" si="15"/>
        <v>19.268627496825243</v>
      </c>
      <c r="C69" s="26">
        <f t="shared" si="0"/>
        <v>405.73137250317478</v>
      </c>
      <c r="D69" s="34">
        <f t="shared" si="1"/>
        <v>70719.411750952437</v>
      </c>
      <c r="E69" s="34">
        <f t="shared" si="2"/>
        <v>42000</v>
      </c>
      <c r="F69" s="34">
        <f t="shared" si="3"/>
        <v>67044.279982230539</v>
      </c>
      <c r="G69" s="35" t="b">
        <f t="shared" si="4"/>
        <v>1</v>
      </c>
      <c r="H69" s="33">
        <f t="shared" si="5"/>
        <v>1.1537835506431169</v>
      </c>
      <c r="I69" s="36">
        <f t="shared" si="6"/>
        <v>1.631249234861417E-2</v>
      </c>
      <c r="J69" s="39">
        <f t="shared" si="7"/>
        <v>137.14544044140544</v>
      </c>
      <c r="K69" s="39">
        <f t="shared" si="8"/>
        <v>344.97671699322291</v>
      </c>
      <c r="L69" s="42">
        <f t="shared" si="9"/>
        <v>142.77300071406327</v>
      </c>
      <c r="M69" s="42">
        <v>0</v>
      </c>
      <c r="N69" s="43">
        <f t="shared" si="10"/>
        <v>10.284606376040131</v>
      </c>
      <c r="O69" s="27">
        <f t="shared" si="11"/>
        <v>-228.17044932404445</v>
      </c>
      <c r="P69" s="27">
        <f t="shared" si="12"/>
        <v>48.118967007557579</v>
      </c>
      <c r="Q69" s="27">
        <f t="shared" si="13"/>
        <v>115.3021931465894</v>
      </c>
      <c r="R69" s="73">
        <f t="shared" si="14"/>
        <v>-115.3021931465894</v>
      </c>
    </row>
    <row r="70" spans="2:18" x14ac:dyDescent="0.3">
      <c r="B70" s="74">
        <f t="shared" si="15"/>
        <v>20.071486975859628</v>
      </c>
      <c r="C70" s="26">
        <f t="shared" si="0"/>
        <v>404.92851302414039</v>
      </c>
      <c r="D70" s="34">
        <f t="shared" si="1"/>
        <v>70478.553907242109</v>
      </c>
      <c r="E70" s="34">
        <f t="shared" si="2"/>
        <v>42000</v>
      </c>
      <c r="F70" s="34">
        <f t="shared" si="3"/>
        <v>66666.406231733708</v>
      </c>
      <c r="G70" s="35" t="b">
        <f t="shared" si="4"/>
        <v>1</v>
      </c>
      <c r="H70" s="33">
        <f t="shared" si="5"/>
        <v>1.1596696099566823</v>
      </c>
      <c r="I70" s="36">
        <f t="shared" si="6"/>
        <v>1.4282381907956838E-2</v>
      </c>
      <c r="J70" s="39">
        <f t="shared" si="7"/>
        <v>137.50066813976161</v>
      </c>
      <c r="K70" s="39">
        <f t="shared" si="8"/>
        <v>344.98215149052317</v>
      </c>
      <c r="L70" s="42">
        <f t="shared" si="9"/>
        <v>142.42792237851728</v>
      </c>
      <c r="M70" s="42">
        <v>0</v>
      </c>
      <c r="N70" s="43">
        <f t="shared" si="10"/>
        <v>10.629684711586123</v>
      </c>
      <c r="O70" s="27">
        <f t="shared" si="11"/>
        <v>-231.97489884378527</v>
      </c>
      <c r="P70" s="27">
        <f t="shared" si="12"/>
        <v>48.32472719411804</v>
      </c>
      <c r="Q70" s="27">
        <f t="shared" si="13"/>
        <v>117.28848200207861</v>
      </c>
      <c r="R70" s="73">
        <f t="shared" si="14"/>
        <v>-117.28848200207861</v>
      </c>
    </row>
    <row r="71" spans="2:18" x14ac:dyDescent="0.3">
      <c r="B71" s="74">
        <f t="shared" si="15"/>
        <v>20.874346454894013</v>
      </c>
      <c r="C71" s="26">
        <f t="shared" si="0"/>
        <v>404.12565354510599</v>
      </c>
      <c r="D71" s="34">
        <f t="shared" si="1"/>
        <v>70237.696063531796</v>
      </c>
      <c r="E71" s="34">
        <f t="shared" si="2"/>
        <v>42000</v>
      </c>
      <c r="F71" s="34">
        <f t="shared" si="3"/>
        <v>66289.821647923003</v>
      </c>
      <c r="G71" s="35" t="b">
        <f t="shared" si="4"/>
        <v>1</v>
      </c>
      <c r="H71" s="33">
        <f t="shared" si="5"/>
        <v>1.1655348370370429</v>
      </c>
      <c r="I71" s="36">
        <f t="shared" si="6"/>
        <v>1.2286594380037763E-2</v>
      </c>
      <c r="J71" s="39">
        <f t="shared" si="7"/>
        <v>137.84990008110398</v>
      </c>
      <c r="K71" s="39">
        <f t="shared" si="8"/>
        <v>344.98679113104151</v>
      </c>
      <c r="L71" s="42">
        <f t="shared" si="9"/>
        <v>142.08866849264186</v>
      </c>
      <c r="M71" s="42">
        <v>0</v>
      </c>
      <c r="N71" s="43">
        <f t="shared" si="10"/>
        <v>10.968938597461545</v>
      </c>
      <c r="O71" s="27">
        <f t="shared" si="11"/>
        <v>-235.86370672120549</v>
      </c>
      <c r="P71" s="27">
        <f t="shared" si="12"/>
        <v>48.533938144707342</v>
      </c>
      <c r="Q71" s="27">
        <f t="shared" si="13"/>
        <v>119.31606405948236</v>
      </c>
      <c r="R71" s="73">
        <f t="shared" si="14"/>
        <v>-119.31606405948236</v>
      </c>
    </row>
    <row r="72" spans="2:18" x14ac:dyDescent="0.3">
      <c r="B72" s="74">
        <f t="shared" si="15"/>
        <v>21.677205933928398</v>
      </c>
      <c r="C72" s="26">
        <f t="shared" si="0"/>
        <v>403.32279406607159</v>
      </c>
      <c r="D72" s="34">
        <f t="shared" si="1"/>
        <v>69996.838219821482</v>
      </c>
      <c r="E72" s="34">
        <f t="shared" si="2"/>
        <v>42000</v>
      </c>
      <c r="F72" s="34">
        <f t="shared" si="3"/>
        <v>65914.526230798452</v>
      </c>
      <c r="G72" s="35" t="b">
        <f t="shared" si="4"/>
        <v>1</v>
      </c>
      <c r="H72" s="33">
        <f t="shared" si="5"/>
        <v>1.1713798566528977</v>
      </c>
      <c r="I72" s="36">
        <f t="shared" si="6"/>
        <v>1.032469108499926E-2</v>
      </c>
      <c r="J72" s="39">
        <f t="shared" si="7"/>
        <v>138.19321116091234</v>
      </c>
      <c r="K72" s="39">
        <f t="shared" si="8"/>
        <v>344.99067264883274</v>
      </c>
      <c r="L72" s="42">
        <f t="shared" si="9"/>
        <v>141.75516630082802</v>
      </c>
      <c r="M72" s="42">
        <v>0</v>
      </c>
      <c r="N72" s="43">
        <f t="shared" si="10"/>
        <v>11.30244078927538</v>
      </c>
      <c r="O72" s="27">
        <f t="shared" si="11"/>
        <v>-239.84065683574119</v>
      </c>
      <c r="P72" s="27">
        <f t="shared" si="12"/>
        <v>48.746673509721802</v>
      </c>
      <c r="Q72" s="27">
        <f t="shared" si="13"/>
        <v>121.38687202270322</v>
      </c>
      <c r="R72" s="73">
        <f t="shared" si="14"/>
        <v>-121.38687202270322</v>
      </c>
    </row>
    <row r="73" spans="2:18" x14ac:dyDescent="0.3">
      <c r="B73" s="74">
        <f t="shared" si="15"/>
        <v>22.480065412962784</v>
      </c>
      <c r="C73" s="26">
        <f t="shared" si="0"/>
        <v>402.5199345870372</v>
      </c>
      <c r="D73" s="34">
        <f t="shared" si="1"/>
        <v>69755.980376111154</v>
      </c>
      <c r="E73" s="34">
        <f t="shared" si="2"/>
        <v>42000</v>
      </c>
      <c r="F73" s="34">
        <f t="shared" si="3"/>
        <v>65540.519980360055</v>
      </c>
      <c r="G73" s="35" t="b">
        <f t="shared" si="4"/>
        <v>1</v>
      </c>
      <c r="H73" s="33">
        <f t="shared" si="5"/>
        <v>1.1772052742786374</v>
      </c>
      <c r="I73" s="36">
        <f t="shared" si="6"/>
        <v>8.3962507276454119E-3</v>
      </c>
      <c r="J73" s="39">
        <f t="shared" si="7"/>
        <v>138.53067338666352</v>
      </c>
      <c r="K73" s="39">
        <f t="shared" si="8"/>
        <v>344.99383154643863</v>
      </c>
      <c r="L73" s="42">
        <f t="shared" si="9"/>
        <v>141.42734585295543</v>
      </c>
      <c r="M73" s="42">
        <v>0</v>
      </c>
      <c r="N73" s="43">
        <f t="shared" si="10"/>
        <v>11.630261237147977</v>
      </c>
      <c r="O73" s="27">
        <f t="shared" si="11"/>
        <v>-243.90973484258024</v>
      </c>
      <c r="P73" s="27">
        <f t="shared" si="12"/>
        <v>48.963013979336203</v>
      </c>
      <c r="Q73" s="27">
        <f t="shared" si="13"/>
        <v>123.50294030541443</v>
      </c>
      <c r="R73" s="73">
        <f t="shared" si="14"/>
        <v>-123.50294030541443</v>
      </c>
    </row>
    <row r="74" spans="2:18" x14ac:dyDescent="0.3">
      <c r="B74" s="74">
        <f t="shared" si="15"/>
        <v>23.282924891997169</v>
      </c>
      <c r="C74" s="26">
        <f t="shared" si="0"/>
        <v>401.71707510800286</v>
      </c>
      <c r="D74" s="34">
        <f t="shared" si="1"/>
        <v>69515.122532400856</v>
      </c>
      <c r="E74" s="34">
        <f t="shared" si="2"/>
        <v>42000</v>
      </c>
      <c r="F74" s="34">
        <f t="shared" si="3"/>
        <v>65167.802896607842</v>
      </c>
      <c r="G74" s="35" t="b">
        <f t="shared" si="4"/>
        <v>1</v>
      </c>
      <c r="H74" s="33">
        <f t="shared" si="5"/>
        <v>1.183011676996587</v>
      </c>
      <c r="I74" s="36">
        <f t="shared" si="6"/>
        <v>6.5008686222711894E-3</v>
      </c>
      <c r="J74" s="39">
        <f t="shared" si="7"/>
        <v>138.86235600419306</v>
      </c>
      <c r="K74" s="39">
        <f t="shared" si="8"/>
        <v>344.99630214989918</v>
      </c>
      <c r="L74" s="42">
        <f t="shared" si="9"/>
        <v>141.10513988164104</v>
      </c>
      <c r="M74" s="42">
        <v>0</v>
      </c>
      <c r="N74" s="43">
        <f t="shared" si="10"/>
        <v>11.952467208462366</v>
      </c>
      <c r="O74" s="27">
        <f t="shared" si="11"/>
        <v>-248.07514272153239</v>
      </c>
      <c r="P74" s="27">
        <f t="shared" si="12"/>
        <v>49.183047654184264</v>
      </c>
      <c r="Q74" s="27">
        <f t="shared" si="13"/>
        <v>125.66641240789372</v>
      </c>
      <c r="R74" s="73">
        <f t="shared" si="14"/>
        <v>-125.66641240789372</v>
      </c>
    </row>
    <row r="75" spans="2:18" x14ac:dyDescent="0.3">
      <c r="B75" s="74">
        <f t="shared" si="15"/>
        <v>24.085784371031554</v>
      </c>
      <c r="C75" s="26">
        <f t="shared" si="0"/>
        <v>400.91421562896846</v>
      </c>
      <c r="D75" s="34">
        <f t="shared" si="1"/>
        <v>69274.264688690542</v>
      </c>
      <c r="E75" s="34">
        <f t="shared" si="2"/>
        <v>42000</v>
      </c>
      <c r="F75" s="34">
        <f t="shared" si="3"/>
        <v>64796.374979541753</v>
      </c>
      <c r="G75" s="35" t="b">
        <f t="shared" si="4"/>
        <v>1</v>
      </c>
      <c r="H75" s="33">
        <f t="shared" si="5"/>
        <v>1.1887996343464033</v>
      </c>
      <c r="I75" s="36">
        <f t="shared" si="6"/>
        <v>4.6381559629860855E-3</v>
      </c>
      <c r="J75" s="39">
        <f t="shared" si="7"/>
        <v>139.18832561667435</v>
      </c>
      <c r="K75" s="39">
        <f t="shared" si="8"/>
        <v>344.99811766043501</v>
      </c>
      <c r="L75" s="42">
        <f t="shared" si="9"/>
        <v>140.78848368665919</v>
      </c>
      <c r="M75" s="42">
        <v>0</v>
      </c>
      <c r="N75" s="43">
        <f t="shared" si="10"/>
        <v>12.269123403444212</v>
      </c>
      <c r="O75" s="27">
        <f t="shared" si="11"/>
        <v>-252.34131455398324</v>
      </c>
      <c r="P75" s="27">
        <f t="shared" si="12"/>
        <v>49.40687045442084</v>
      </c>
      <c r="Q75" s="27">
        <f t="shared" si="13"/>
        <v>127.87954891450501</v>
      </c>
      <c r="R75" s="73">
        <f t="shared" si="14"/>
        <v>-127.87954891450501</v>
      </c>
    </row>
    <row r="76" spans="2:18" x14ac:dyDescent="0.3">
      <c r="B76" s="74">
        <f t="shared" si="15"/>
        <v>24.888643850065939</v>
      </c>
      <c r="C76" s="26">
        <f t="shared" si="0"/>
        <v>400.11135614993407</v>
      </c>
      <c r="D76" s="34">
        <f t="shared" si="1"/>
        <v>69033.406844980214</v>
      </c>
      <c r="E76" s="34">
        <f t="shared" si="2"/>
        <v>42000</v>
      </c>
      <c r="F76" s="34">
        <f t="shared" si="3"/>
        <v>64426.23622916179</v>
      </c>
      <c r="G76" s="35" t="b">
        <f t="shared" si="4"/>
        <v>1</v>
      </c>
      <c r="H76" s="33">
        <f t="shared" si="5"/>
        <v>1.1945696991253265</v>
      </c>
      <c r="I76" s="36">
        <f t="shared" si="6"/>
        <v>2.8077391363266085E-3</v>
      </c>
      <c r="J76" s="39">
        <f t="shared" si="7"/>
        <v>139.50864629673299</v>
      </c>
      <c r="K76" s="39">
        <f t="shared" si="8"/>
        <v>344.99931020303563</v>
      </c>
      <c r="L76" s="42">
        <f t="shared" si="9"/>
        <v>140.47731502603082</v>
      </c>
      <c r="M76" s="42">
        <v>0</v>
      </c>
      <c r="N76" s="43">
        <f t="shared" si="10"/>
        <v>12.58029206407258</v>
      </c>
      <c r="O76" s="27">
        <f t="shared" si="11"/>
        <v>-256.7129336538178</v>
      </c>
      <c r="P76" s="27">
        <f t="shared" si="12"/>
        <v>49.634586570619113</v>
      </c>
      <c r="Q76" s="27">
        <f t="shared" si="13"/>
        <v>130.14473617558204</v>
      </c>
      <c r="R76" s="73">
        <f t="shared" si="14"/>
        <v>-130.14473617558204</v>
      </c>
    </row>
    <row r="77" spans="2:18" x14ac:dyDescent="0.3">
      <c r="B77" s="74">
        <f t="shared" si="15"/>
        <v>25.691503329100325</v>
      </c>
      <c r="C77" s="26">
        <f t="shared" ref="C77:C108" si="16">Ydo-CourseVérTab</f>
        <v>399.30849667089967</v>
      </c>
      <c r="D77" s="34">
        <f t="shared" ref="D77:D108" si="17">2*(YdTab-Yb)*AD</f>
        <v>68792.549001269901</v>
      </c>
      <c r="E77" s="34">
        <f t="shared" ref="E77:E108" si="18">2*Xb*AD</f>
        <v>42000</v>
      </c>
      <c r="F77" s="34">
        <f t="shared" ref="F77:F108" si="19">AD^2+Xb^2+(YdTab-Yb)^2-BA^2</f>
        <v>64057.38664546801</v>
      </c>
      <c r="G77" s="35" t="b">
        <f t="shared" ref="G77:G108" si="20">a_1Tab^2+b_1Tab^2&gt;=c_1Tab^2</f>
        <v>1</v>
      </c>
      <c r="H77" s="33">
        <f t="shared" ref="H77:H108" si="21">ASIN((b_1Tab*c_1Tab+a_1Tab*SQRT(a_1Tab^2+b_1Tab^2-c_1Tab^2))/(a_1Tab^2+b_1Tab^2))</f>
        <v>1.2003224081427406</v>
      </c>
      <c r="I77" s="36">
        <f t="shared" ref="I77:I108" si="22">ASIN(  (Xb-AD*SIN(θTab) ) / BA )</f>
        <v>1.0092590732023691E-3</v>
      </c>
      <c r="J77" s="39">
        <f t="shared" ref="J77:J108" si="23">Xb-BA*SIN(δTab)</f>
        <v>139.82337969217394</v>
      </c>
      <c r="K77" s="39">
        <f t="shared" ref="K77:K108" si="24">Yb+BA*COS(δTab)</f>
        <v>344.99991087216836</v>
      </c>
      <c r="L77" s="42">
        <f t="shared" ref="L77:L108" si="25">Xb+Yb*SIN(δTab)</f>
        <v>140.17157401331673</v>
      </c>
      <c r="M77" s="42">
        <v>0</v>
      </c>
      <c r="N77" s="43">
        <f t="shared" ref="N77:N108" si="26">Xco-XcTab</f>
        <v>12.886033076786674</v>
      </c>
      <c r="O77" s="27">
        <f t="shared" ref="O77:O108" si="27">(Fv*((XcTab-Xb)*TAN(δTab)+YaTab)*TAN(θTab)+Fv*(XaTab-Xb))/((2*XcTab-2*Xb)*TAN(δTab)+2*Yb)</f>
        <v>-261.19495119295254</v>
      </c>
      <c r="P77" s="27">
        <f t="shared" ref="P77:P108" si="28">-(Fv*(Yb-YaTab)*TAN(δTab)*TAN(θTab)+Fv*((XcTab-XaTab)*TAN(δTab)+Yb))/((2*XcTab-2*Xb)*TAN(δTab)+2*Yb)</f>
        <v>49.866308960399515</v>
      </c>
      <c r="Q77" s="27">
        <f t="shared" ref="Q77:Q108" si="29">(Fv*(Yb-YaTab)*TAN(θTab)+Fv*(Xb-XaTab))/((2*XcTab-2*Xb)*TAN(δTab)+2*Yb)</f>
        <v>132.46449574492996</v>
      </c>
      <c r="R77" s="73">
        <f t="shared" ref="R77:R108" si="30">-XRcTab</f>
        <v>-132.46449574492996</v>
      </c>
    </row>
    <row r="78" spans="2:18" x14ac:dyDescent="0.3">
      <c r="B78" s="74">
        <f t="shared" ref="B78:B109" si="31">B77+CvMaxTab/100</f>
        <v>26.49436280813471</v>
      </c>
      <c r="C78" s="26">
        <f t="shared" si="16"/>
        <v>398.50563719186528</v>
      </c>
      <c r="D78" s="34">
        <f t="shared" si="17"/>
        <v>68551.691157559588</v>
      </c>
      <c r="E78" s="34">
        <f t="shared" si="18"/>
        <v>42000</v>
      </c>
      <c r="F78" s="34">
        <f t="shared" si="19"/>
        <v>63689.826228460355</v>
      </c>
      <c r="G78" s="35" t="b">
        <f t="shared" si="20"/>
        <v>1</v>
      </c>
      <c r="H78" s="33">
        <f t="shared" si="21"/>
        <v>1.2060582829321584</v>
      </c>
      <c r="I78" s="36">
        <f t="shared" si="22"/>
        <v>-7.5762936252732468E-4</v>
      </c>
      <c r="J78" s="39">
        <f t="shared" si="23"/>
        <v>140.13258512575825</v>
      </c>
      <c r="K78" s="39">
        <f t="shared" si="24"/>
        <v>344.99994977480543</v>
      </c>
      <c r="L78" s="42">
        <f t="shared" si="25"/>
        <v>139.87120302069198</v>
      </c>
      <c r="M78" s="42">
        <v>0</v>
      </c>
      <c r="N78" s="43">
        <f t="shared" si="26"/>
        <v>13.186404069411424</v>
      </c>
      <c r="O78" s="27">
        <f t="shared" si="27"/>
        <v>-265.79260647875435</v>
      </c>
      <c r="P78" s="27">
        <f t="shared" si="28"/>
        <v>50.102159895182538</v>
      </c>
      <c r="Q78" s="27">
        <f t="shared" si="29"/>
        <v>134.84149465257667</v>
      </c>
      <c r="R78" s="73">
        <f t="shared" si="30"/>
        <v>-134.84149465257667</v>
      </c>
    </row>
    <row r="79" spans="2:18" x14ac:dyDescent="0.3">
      <c r="B79" s="74">
        <f t="shared" si="31"/>
        <v>27.297222287169095</v>
      </c>
      <c r="C79" s="26">
        <f t="shared" si="16"/>
        <v>397.70277771283088</v>
      </c>
      <c r="D79" s="34">
        <f t="shared" si="17"/>
        <v>68310.83331384926</v>
      </c>
      <c r="E79" s="34">
        <f t="shared" si="18"/>
        <v>42000</v>
      </c>
      <c r="F79" s="34">
        <f t="shared" si="19"/>
        <v>63323.554978138869</v>
      </c>
      <c r="G79" s="35" t="b">
        <f t="shared" si="20"/>
        <v>1</v>
      </c>
      <c r="H79" s="33">
        <f t="shared" si="21"/>
        <v>1.2117778304235394</v>
      </c>
      <c r="I79" s="36">
        <f t="shared" si="22"/>
        <v>-2.4932579513403047E-3</v>
      </c>
      <c r="J79" s="39">
        <f t="shared" si="23"/>
        <v>140.43631968943265</v>
      </c>
      <c r="K79" s="39">
        <f t="shared" si="24"/>
        <v>344.99945607095071</v>
      </c>
      <c r="L79" s="42">
        <f t="shared" si="25"/>
        <v>139.57614658740829</v>
      </c>
      <c r="M79" s="42">
        <v>0</v>
      </c>
      <c r="N79" s="43">
        <f t="shared" si="26"/>
        <v>13.481460502695114</v>
      </c>
      <c r="O79" s="27">
        <f t="shared" si="27"/>
        <v>-270.51144905963645</v>
      </c>
      <c r="P79" s="27">
        <f t="shared" si="28"/>
        <v>50.342271562021729</v>
      </c>
      <c r="Q79" s="27">
        <f t="shared" si="29"/>
        <v>137.27855660202286</v>
      </c>
      <c r="R79" s="73">
        <f t="shared" si="30"/>
        <v>-137.27855660202286</v>
      </c>
    </row>
    <row r="80" spans="2:18" x14ac:dyDescent="0.3">
      <c r="B80" s="74">
        <f t="shared" si="31"/>
        <v>28.100081766203481</v>
      </c>
      <c r="C80" s="26">
        <f t="shared" si="16"/>
        <v>396.89991823379654</v>
      </c>
      <c r="D80" s="34">
        <f t="shared" si="17"/>
        <v>68069.975470138961</v>
      </c>
      <c r="E80" s="34">
        <f t="shared" si="18"/>
        <v>42000</v>
      </c>
      <c r="F80" s="34">
        <f t="shared" si="19"/>
        <v>62958.572894503566</v>
      </c>
      <c r="G80" s="35" t="b">
        <f t="shared" si="20"/>
        <v>1</v>
      </c>
      <c r="H80" s="33">
        <f t="shared" si="21"/>
        <v>1.2174815435785844</v>
      </c>
      <c r="I80" s="36">
        <f t="shared" si="22"/>
        <v>-4.1979456634913632E-3</v>
      </c>
      <c r="J80" s="39">
        <f t="shared" si="23"/>
        <v>140.73463833338221</v>
      </c>
      <c r="K80" s="39">
        <f t="shared" si="24"/>
        <v>344.99845801183255</v>
      </c>
      <c r="L80" s="42">
        <f t="shared" si="25"/>
        <v>139.28635133328586</v>
      </c>
      <c r="M80" s="42">
        <v>0</v>
      </c>
      <c r="N80" s="43">
        <f t="shared" si="26"/>
        <v>13.771255756817538</v>
      </c>
      <c r="O80" s="27">
        <f t="shared" si="27"/>
        <v>-275.35736285670566</v>
      </c>
      <c r="P80" s="27">
        <f t="shared" si="28"/>
        <v>50.586786726109075</v>
      </c>
      <c r="Q80" s="27">
        <f t="shared" si="29"/>
        <v>139.7786741921571</v>
      </c>
      <c r="R80" s="73">
        <f t="shared" si="30"/>
        <v>-139.7786741921571</v>
      </c>
    </row>
    <row r="81" spans="2:18" x14ac:dyDescent="0.3">
      <c r="B81" s="74">
        <f t="shared" si="31"/>
        <v>28.902941245237866</v>
      </c>
      <c r="C81" s="26">
        <f t="shared" si="16"/>
        <v>396.09705875476214</v>
      </c>
      <c r="D81" s="34">
        <f t="shared" si="17"/>
        <v>67829.117626428648</v>
      </c>
      <c r="E81" s="34">
        <f t="shared" si="18"/>
        <v>42000</v>
      </c>
      <c r="F81" s="34">
        <f t="shared" si="19"/>
        <v>62594.879977554374</v>
      </c>
      <c r="G81" s="35" t="b">
        <f t="shared" si="20"/>
        <v>1</v>
      </c>
      <c r="H81" s="33">
        <f t="shared" si="21"/>
        <v>1.223169901991479</v>
      </c>
      <c r="I81" s="36">
        <f t="shared" si="22"/>
        <v>-5.8719991747241069E-3</v>
      </c>
      <c r="J81" s="39">
        <f t="shared" si="23"/>
        <v>141.02759395024896</v>
      </c>
      <c r="K81" s="39">
        <f t="shared" si="24"/>
        <v>344.99698297591704</v>
      </c>
      <c r="L81" s="42">
        <f t="shared" si="25"/>
        <v>139.001765876901</v>
      </c>
      <c r="M81" s="42">
        <v>0</v>
      </c>
      <c r="N81" s="43">
        <f t="shared" si="26"/>
        <v>14.055841213202399</v>
      </c>
      <c r="O81" s="27">
        <f t="shared" si="27"/>
        <v>-280.33659254401857</v>
      </c>
      <c r="P81" s="27">
        <f t="shared" si="28"/>
        <v>50.835859460271401</v>
      </c>
      <c r="Q81" s="27">
        <f t="shared" si="29"/>
        <v>142.34502227649156</v>
      </c>
      <c r="R81" s="73">
        <f t="shared" si="30"/>
        <v>-142.34502227649156</v>
      </c>
    </row>
    <row r="82" spans="2:18" x14ac:dyDescent="0.3">
      <c r="B82" s="74">
        <f t="shared" si="31"/>
        <v>29.705800724272251</v>
      </c>
      <c r="C82" s="26">
        <f t="shared" si="16"/>
        <v>395.29419927572775</v>
      </c>
      <c r="D82" s="34">
        <f t="shared" si="17"/>
        <v>67588.25978271832</v>
      </c>
      <c r="E82" s="34">
        <f t="shared" si="18"/>
        <v>42000</v>
      </c>
      <c r="F82" s="34">
        <f t="shared" si="19"/>
        <v>62232.476227291336</v>
      </c>
      <c r="G82" s="35" t="b">
        <f t="shared" si="20"/>
        <v>1</v>
      </c>
      <c r="H82" s="33">
        <f t="shared" si="21"/>
        <v>1.2288433724573211</v>
      </c>
      <c r="I82" s="36">
        <f t="shared" si="22"/>
        <v>-7.5157133541993758E-3</v>
      </c>
      <c r="J82" s="39">
        <f t="shared" si="23"/>
        <v>141.31523745483105</v>
      </c>
      <c r="K82" s="39">
        <f t="shared" si="24"/>
        <v>344.99505750288324</v>
      </c>
      <c r="L82" s="42">
        <f t="shared" si="25"/>
        <v>138.72234075816414</v>
      </c>
      <c r="M82" s="42">
        <v>0</v>
      </c>
      <c r="N82" s="43">
        <f t="shared" si="26"/>
        <v>14.335266331939266</v>
      </c>
      <c r="O82" s="27">
        <f t="shared" si="27"/>
        <v>-285.45577242815449</v>
      </c>
      <c r="P82" s="27">
        <f t="shared" si="28"/>
        <v>51.089655948600765</v>
      </c>
      <c r="Q82" s="27">
        <f t="shared" si="29"/>
        <v>144.9809725866152</v>
      </c>
      <c r="R82" s="73">
        <f t="shared" si="30"/>
        <v>-144.9809725866152</v>
      </c>
    </row>
    <row r="83" spans="2:18" x14ac:dyDescent="0.3">
      <c r="B83" s="74">
        <f t="shared" si="31"/>
        <v>30.508660203306636</v>
      </c>
      <c r="C83" s="26">
        <f t="shared" si="16"/>
        <v>394.49133979669335</v>
      </c>
      <c r="D83" s="34">
        <f t="shared" si="17"/>
        <v>67347.401939008007</v>
      </c>
      <c r="E83" s="34">
        <f t="shared" si="18"/>
        <v>42000</v>
      </c>
      <c r="F83" s="34">
        <f t="shared" si="19"/>
        <v>61871.361643714437</v>
      </c>
      <c r="G83" s="35" t="b">
        <f t="shared" si="20"/>
        <v>1</v>
      </c>
      <c r="H83" s="33">
        <f t="shared" si="21"/>
        <v>1.2345024095103529</v>
      </c>
      <c r="I83" s="36">
        <f t="shared" si="22"/>
        <v>-9.1293717264474585E-3</v>
      </c>
      <c r="J83" s="39">
        <f t="shared" si="23"/>
        <v>141.5976178595551</v>
      </c>
      <c r="K83" s="39">
        <f t="shared" si="24"/>
        <v>344.99270732569062</v>
      </c>
      <c r="L83" s="42">
        <f t="shared" si="25"/>
        <v>138.44802836500361</v>
      </c>
      <c r="M83" s="42">
        <v>0</v>
      </c>
      <c r="N83" s="43">
        <f t="shared" si="26"/>
        <v>14.609578725099794</v>
      </c>
      <c r="O83" s="27">
        <f t="shared" si="27"/>
        <v>-290.72195811014717</v>
      </c>
      <c r="P83" s="27">
        <f t="shared" si="28"/>
        <v>51.348355372307402</v>
      </c>
      <c r="Q83" s="27">
        <f t="shared" si="29"/>
        <v>147.69010976311861</v>
      </c>
      <c r="R83" s="73">
        <f t="shared" si="30"/>
        <v>-147.69010976311861</v>
      </c>
    </row>
    <row r="84" spans="2:18" x14ac:dyDescent="0.3">
      <c r="B84" s="74">
        <f t="shared" si="31"/>
        <v>31.311519682341022</v>
      </c>
      <c r="C84" s="26">
        <f t="shared" si="16"/>
        <v>393.68848031765896</v>
      </c>
      <c r="D84" s="34">
        <f t="shared" si="17"/>
        <v>67106.544095297693</v>
      </c>
      <c r="E84" s="34">
        <f t="shared" si="18"/>
        <v>42000</v>
      </c>
      <c r="F84" s="34">
        <f t="shared" si="19"/>
        <v>61511.536226823693</v>
      </c>
      <c r="G84" s="35" t="b">
        <f t="shared" si="20"/>
        <v>1</v>
      </c>
      <c r="H84" s="33">
        <f t="shared" si="21"/>
        <v>1.2401474559338916</v>
      </c>
      <c r="I84" s="36">
        <f t="shared" si="22"/>
        <v>-1.0713246909003056E-2</v>
      </c>
      <c r="J84" s="39">
        <f t="shared" si="23"/>
        <v>141.87478234599027</v>
      </c>
      <c r="K84" s="39">
        <f t="shared" si="24"/>
        <v>344.98995740086104</v>
      </c>
      <c r="L84" s="42">
        <f t="shared" si="25"/>
        <v>138.17878286389518</v>
      </c>
      <c r="M84" s="42">
        <v>0</v>
      </c>
      <c r="N84" s="43">
        <f t="shared" si="26"/>
        <v>14.878824226208224</v>
      </c>
      <c r="O84" s="27">
        <f t="shared" si="27"/>
        <v>-296.14266124981089</v>
      </c>
      <c r="P84" s="27">
        <f t="shared" si="28"/>
        <v>51.612150886963384</v>
      </c>
      <c r="Q84" s="27">
        <f t="shared" si="29"/>
        <v>150.47624895596641</v>
      </c>
      <c r="R84" s="73">
        <f t="shared" si="30"/>
        <v>-150.47624895596641</v>
      </c>
    </row>
    <row r="85" spans="2:18" x14ac:dyDescent="0.3">
      <c r="B85" s="74">
        <f t="shared" si="31"/>
        <v>32.114379161375403</v>
      </c>
      <c r="C85" s="26">
        <f t="shared" si="16"/>
        <v>392.88562083862462</v>
      </c>
      <c r="D85" s="34">
        <f t="shared" si="17"/>
        <v>66865.68625158738</v>
      </c>
      <c r="E85" s="34">
        <f t="shared" si="18"/>
        <v>42000</v>
      </c>
      <c r="F85" s="34">
        <f t="shared" si="19"/>
        <v>61152.999976619147</v>
      </c>
      <c r="G85" s="35" t="b">
        <f t="shared" si="20"/>
        <v>1</v>
      </c>
      <c r="H85" s="33">
        <f t="shared" si="21"/>
        <v>1.2457789432437785</v>
      </c>
      <c r="I85" s="36">
        <f t="shared" si="22"/>
        <v>-1.2267601027268904E-2</v>
      </c>
      <c r="J85" s="39">
        <f t="shared" si="23"/>
        <v>142.14677633265455</v>
      </c>
      <c r="K85" s="39">
        <f t="shared" si="24"/>
        <v>344.98683193708479</v>
      </c>
      <c r="L85" s="42">
        <f t="shared" si="25"/>
        <v>137.91456013399272</v>
      </c>
      <c r="M85" s="42">
        <v>0</v>
      </c>
      <c r="N85" s="43">
        <f t="shared" si="26"/>
        <v>15.14304695611068</v>
      </c>
      <c r="O85" s="27">
        <f t="shared" si="27"/>
        <v>-301.72588779517611</v>
      </c>
      <c r="P85" s="27">
        <f t="shared" si="28"/>
        <v>51.881250701548275</v>
      </c>
      <c r="Q85" s="27">
        <f t="shared" si="29"/>
        <v>153.34345517788222</v>
      </c>
      <c r="R85" s="73">
        <f t="shared" si="30"/>
        <v>-153.34345517788222</v>
      </c>
    </row>
    <row r="86" spans="2:18" x14ac:dyDescent="0.3">
      <c r="B86" s="74">
        <f t="shared" si="31"/>
        <v>32.917238640409785</v>
      </c>
      <c r="C86" s="26">
        <f t="shared" si="16"/>
        <v>392.08276135959022</v>
      </c>
      <c r="D86" s="34">
        <f t="shared" si="17"/>
        <v>66624.828407877067</v>
      </c>
      <c r="E86" s="34">
        <f t="shared" si="18"/>
        <v>42000</v>
      </c>
      <c r="F86" s="34">
        <f t="shared" si="19"/>
        <v>60795.752893100696</v>
      </c>
      <c r="G86" s="35" t="b">
        <f t="shared" si="20"/>
        <v>1</v>
      </c>
      <c r="H86" s="33">
        <f t="shared" si="21"/>
        <v>1.2513972921469789</v>
      </c>
      <c r="I86" s="36">
        <f t="shared" si="22"/>
        <v>-1.3792686108033815E-2</v>
      </c>
      <c r="J86" s="39">
        <f t="shared" si="23"/>
        <v>142.41364353934432</v>
      </c>
      <c r="K86" s="39">
        <f t="shared" si="24"/>
        <v>344.98335442225635</v>
      </c>
      <c r="L86" s="42">
        <f t="shared" si="25"/>
        <v>137.65531770463696</v>
      </c>
      <c r="M86" s="42">
        <v>0</v>
      </c>
      <c r="N86" s="43">
        <f t="shared" si="26"/>
        <v>15.402289385466446</v>
      </c>
      <c r="O86" s="27">
        <f t="shared" si="27"/>
        <v>-307.4801800888257</v>
      </c>
      <c r="P86" s="27">
        <f t="shared" si="28"/>
        <v>52.155879271136925</v>
      </c>
      <c r="Q86" s="27">
        <f t="shared" si="29"/>
        <v>156.29606461914807</v>
      </c>
      <c r="R86" s="73">
        <f t="shared" si="30"/>
        <v>-156.29606461914807</v>
      </c>
    </row>
    <row r="87" spans="2:18" x14ac:dyDescent="0.3">
      <c r="B87" s="74">
        <f t="shared" si="31"/>
        <v>33.720098119444167</v>
      </c>
      <c r="C87" s="26">
        <f t="shared" si="16"/>
        <v>391.27990188055583</v>
      </c>
      <c r="D87" s="34">
        <f t="shared" si="17"/>
        <v>66383.970564166753</v>
      </c>
      <c r="E87" s="34">
        <f t="shared" si="18"/>
        <v>42000</v>
      </c>
      <c r="F87" s="34">
        <f t="shared" si="19"/>
        <v>60439.794976268415</v>
      </c>
      <c r="G87" s="35" t="b">
        <f t="shared" si="20"/>
        <v>1</v>
      </c>
      <c r="H87" s="33">
        <f t="shared" si="21"/>
        <v>1.2570029129768621</v>
      </c>
      <c r="I87" s="36">
        <f t="shared" si="22"/>
        <v>-1.5288744452964017E-2</v>
      </c>
      <c r="J87" s="39">
        <f t="shared" si="23"/>
        <v>142.67542604820079</v>
      </c>
      <c r="K87" s="39">
        <f t="shared" si="24"/>
        <v>344.97954764903415</v>
      </c>
      <c r="L87" s="42">
        <f t="shared" si="25"/>
        <v>137.40101469603351</v>
      </c>
      <c r="M87" s="42">
        <v>0</v>
      </c>
      <c r="N87" s="43">
        <f t="shared" si="26"/>
        <v>15.656592394069889</v>
      </c>
      <c r="O87" s="27">
        <f t="shared" si="27"/>
        <v>-313.41466331968383</v>
      </c>
      <c r="P87" s="27">
        <f t="shared" si="28"/>
        <v>52.436278616718589</v>
      </c>
      <c r="Q87" s="27">
        <f t="shared" si="29"/>
        <v>159.33870816093676</v>
      </c>
      <c r="R87" s="73">
        <f t="shared" si="30"/>
        <v>-159.33870816093676</v>
      </c>
    </row>
    <row r="88" spans="2:18" x14ac:dyDescent="0.3">
      <c r="B88" s="74">
        <f t="shared" si="31"/>
        <v>34.522957598478548</v>
      </c>
      <c r="C88" s="26">
        <f t="shared" si="16"/>
        <v>390.47704240152143</v>
      </c>
      <c r="D88" s="34">
        <f t="shared" si="17"/>
        <v>66143.112720456425</v>
      </c>
      <c r="E88" s="34">
        <f t="shared" si="18"/>
        <v>42000</v>
      </c>
      <c r="F88" s="34">
        <f t="shared" si="19"/>
        <v>60085.126226122287</v>
      </c>
      <c r="G88" s="35" t="b">
        <f t="shared" si="20"/>
        <v>1</v>
      </c>
      <c r="H88" s="33">
        <f t="shared" si="21"/>
        <v>1.2625962061066052</v>
      </c>
      <c r="I88" s="36">
        <f t="shared" si="22"/>
        <v>-1.6756008993302735E-2</v>
      </c>
      <c r="J88" s="39">
        <f t="shared" si="23"/>
        <v>142.93216436171383</v>
      </c>
      <c r="K88" s="39">
        <f t="shared" si="24"/>
        <v>344.97543373901351</v>
      </c>
      <c r="L88" s="42">
        <f t="shared" si="25"/>
        <v>137.15161176290655</v>
      </c>
      <c r="M88" s="42">
        <v>0</v>
      </c>
      <c r="N88" s="43">
        <f t="shared" si="26"/>
        <v>15.905995327196848</v>
      </c>
      <c r="O88" s="27">
        <f t="shared" si="27"/>
        <v>-319.53909685455659</v>
      </c>
      <c r="P88" s="27">
        <f t="shared" si="28"/>
        <v>52.722709787547878</v>
      </c>
      <c r="Q88" s="27">
        <f t="shared" si="29"/>
        <v>162.47633735756565</v>
      </c>
      <c r="R88" s="73">
        <f t="shared" si="30"/>
        <v>-162.47633735756565</v>
      </c>
    </row>
    <row r="89" spans="2:18" x14ac:dyDescent="0.3">
      <c r="B89" s="74">
        <f t="shared" si="31"/>
        <v>35.32581707751293</v>
      </c>
      <c r="C89" s="26">
        <f t="shared" si="16"/>
        <v>389.67418292248709</v>
      </c>
      <c r="D89" s="34">
        <f t="shared" si="17"/>
        <v>65902.254876746127</v>
      </c>
      <c r="E89" s="34">
        <f t="shared" si="18"/>
        <v>42000</v>
      </c>
      <c r="F89" s="34">
        <f t="shared" si="19"/>
        <v>59731.746642662329</v>
      </c>
      <c r="G89" s="35" t="b">
        <f t="shared" si="20"/>
        <v>1</v>
      </c>
      <c r="H89" s="33">
        <f t="shared" si="21"/>
        <v>1.2681775623420164</v>
      </c>
      <c r="I89" s="36">
        <f t="shared" si="22"/>
        <v>-1.8194703626911619E-2</v>
      </c>
      <c r="J89" s="39">
        <f t="shared" si="23"/>
        <v>143.18389745784685</v>
      </c>
      <c r="K89" s="39">
        <f t="shared" si="24"/>
        <v>344.97103416559526</v>
      </c>
      <c r="L89" s="42">
        <f t="shared" si="25"/>
        <v>136.90707104094878</v>
      </c>
      <c r="M89" s="42">
        <v>0</v>
      </c>
      <c r="N89" s="43">
        <f t="shared" si="26"/>
        <v>16.150536049154624</v>
      </c>
      <c r="O89" s="27">
        <f t="shared" si="27"/>
        <v>-325.86393105995273</v>
      </c>
      <c r="P89" s="27">
        <f t="shared" si="28"/>
        <v>53.015454483639857</v>
      </c>
      <c r="Q89" s="27">
        <f t="shared" si="29"/>
        <v>165.71425319663174</v>
      </c>
      <c r="R89" s="73">
        <f t="shared" si="30"/>
        <v>-165.71425319663174</v>
      </c>
    </row>
    <row r="90" spans="2:18" x14ac:dyDescent="0.3">
      <c r="B90" s="74">
        <f t="shared" si="31"/>
        <v>36.128676556547312</v>
      </c>
      <c r="C90" s="26">
        <f t="shared" si="16"/>
        <v>388.8713234434527</v>
      </c>
      <c r="D90" s="34">
        <f t="shared" si="17"/>
        <v>65661.397033035813</v>
      </c>
      <c r="E90" s="34">
        <f t="shared" si="18"/>
        <v>42000</v>
      </c>
      <c r="F90" s="34">
        <f t="shared" si="19"/>
        <v>59379.656225888495</v>
      </c>
      <c r="G90" s="35" t="b">
        <f t="shared" si="20"/>
        <v>1</v>
      </c>
      <c r="H90" s="33">
        <f t="shared" si="21"/>
        <v>1.2737473632950167</v>
      </c>
      <c r="I90" s="36">
        <f t="shared" si="22"/>
        <v>-1.9605043538716296E-2</v>
      </c>
      <c r="J90" s="39">
        <f t="shared" si="23"/>
        <v>143.43066284245523</v>
      </c>
      <c r="K90" s="39">
        <f t="shared" si="24"/>
        <v>344.96636977562684</v>
      </c>
      <c r="L90" s="42">
        <f t="shared" si="25"/>
        <v>136.66735609590063</v>
      </c>
      <c r="M90" s="42">
        <v>0</v>
      </c>
      <c r="N90" s="43">
        <f t="shared" si="26"/>
        <v>16.390250994202773</v>
      </c>
      <c r="O90" s="27">
        <f t="shared" si="27"/>
        <v>-332.40037031351926</v>
      </c>
      <c r="P90" s="27">
        <f t="shared" si="28"/>
        <v>53.314816858599109</v>
      </c>
      <c r="Q90" s="27">
        <f t="shared" si="29"/>
        <v>169.05813799092465</v>
      </c>
      <c r="R90" s="73">
        <f t="shared" si="30"/>
        <v>-169.05813799092465</v>
      </c>
    </row>
    <row r="91" spans="2:18" x14ac:dyDescent="0.3">
      <c r="B91" s="74">
        <f t="shared" si="31"/>
        <v>36.931536035581694</v>
      </c>
      <c r="C91" s="26">
        <f t="shared" si="16"/>
        <v>388.0684639644183</v>
      </c>
      <c r="D91" s="34">
        <f t="shared" si="17"/>
        <v>65420.539189325493</v>
      </c>
      <c r="E91" s="34">
        <f t="shared" si="18"/>
        <v>42000</v>
      </c>
      <c r="F91" s="34">
        <f t="shared" si="19"/>
        <v>59028.854975800801</v>
      </c>
      <c r="G91" s="35" t="b">
        <f t="shared" si="20"/>
        <v>1</v>
      </c>
      <c r="H91" s="33">
        <f t="shared" si="21"/>
        <v>1.2793059817389143</v>
      </c>
      <c r="I91" s="36">
        <f t="shared" si="22"/>
        <v>-2.0987235505541279E-2</v>
      </c>
      <c r="J91" s="39">
        <f t="shared" si="23"/>
        <v>143.67249659915817</v>
      </c>
      <c r="K91" s="39">
        <f t="shared" si="24"/>
        <v>344.96146080988569</v>
      </c>
      <c r="L91" s="42">
        <f t="shared" si="25"/>
        <v>136.4324318751035</v>
      </c>
      <c r="M91" s="42">
        <v>0</v>
      </c>
      <c r="N91" s="43">
        <f t="shared" si="26"/>
        <v>16.625175214999899</v>
      </c>
      <c r="O91" s="27">
        <f t="shared" si="27"/>
        <v>-339.16044300797142</v>
      </c>
      <c r="P91" s="27">
        <f t="shared" si="28"/>
        <v>53.621125525976083</v>
      </c>
      <c r="Q91" s="27">
        <f t="shared" si="29"/>
        <v>172.51409080840844</v>
      </c>
      <c r="R91" s="73">
        <f t="shared" si="30"/>
        <v>-172.51409080840844</v>
      </c>
    </row>
    <row r="92" spans="2:18" x14ac:dyDescent="0.3">
      <c r="B92" s="74">
        <f t="shared" si="31"/>
        <v>37.734395514616075</v>
      </c>
      <c r="C92" s="26">
        <f t="shared" si="16"/>
        <v>387.2656044853839</v>
      </c>
      <c r="D92" s="34">
        <f t="shared" si="17"/>
        <v>65179.681345615172</v>
      </c>
      <c r="E92" s="34">
        <f t="shared" si="18"/>
        <v>42000</v>
      </c>
      <c r="F92" s="34">
        <f t="shared" si="19"/>
        <v>58679.342892399261</v>
      </c>
      <c r="G92" s="35" t="b">
        <f t="shared" si="20"/>
        <v>1</v>
      </c>
      <c r="H92" s="33">
        <f t="shared" si="21"/>
        <v>1.2848537819465393</v>
      </c>
      <c r="I92" s="36">
        <f t="shared" si="22"/>
        <v>-2.2341478186252664E-2</v>
      </c>
      <c r="J92" s="39">
        <f t="shared" si="23"/>
        <v>143.90943343681312</v>
      </c>
      <c r="K92" s="39">
        <f t="shared" si="24"/>
        <v>344.95632692247267</v>
      </c>
      <c r="L92" s="42">
        <f t="shared" si="25"/>
        <v>136.20226466138155</v>
      </c>
      <c r="M92" s="42">
        <v>0</v>
      </c>
      <c r="N92" s="43">
        <f t="shared" si="26"/>
        <v>16.855342428721855</v>
      </c>
      <c r="O92" s="27">
        <f t="shared" si="27"/>
        <v>-346.15707947156022</v>
      </c>
      <c r="P92" s="27">
        <f t="shared" si="28"/>
        <v>53.934735795856888</v>
      </c>
      <c r="Q92" s="27">
        <f t="shared" si="29"/>
        <v>176.08866690787477</v>
      </c>
      <c r="R92" s="73">
        <f t="shared" si="30"/>
        <v>-176.08866690787477</v>
      </c>
    </row>
    <row r="93" spans="2:18" x14ac:dyDescent="0.3">
      <c r="B93" s="74">
        <f t="shared" si="31"/>
        <v>38.537254993650457</v>
      </c>
      <c r="C93" s="26">
        <f t="shared" si="16"/>
        <v>386.46274500634956</v>
      </c>
      <c r="D93" s="34">
        <f t="shared" si="17"/>
        <v>64938.823501904866</v>
      </c>
      <c r="E93" s="34">
        <f t="shared" si="18"/>
        <v>42000</v>
      </c>
      <c r="F93" s="34">
        <f t="shared" si="19"/>
        <v>58331.11997568392</v>
      </c>
      <c r="G93" s="35" t="b">
        <f t="shared" si="20"/>
        <v>1</v>
      </c>
      <c r="H93" s="33">
        <f t="shared" si="21"/>
        <v>1.2903911200122165</v>
      </c>
      <c r="I93" s="36">
        <f t="shared" si="22"/>
        <v>-2.3667962398059968E-2</v>
      </c>
      <c r="J93" s="39">
        <f t="shared" si="23"/>
        <v>144.14150673473117</v>
      </c>
      <c r="K93" s="39">
        <f t="shared" si="24"/>
        <v>344.95098719917581</v>
      </c>
      <c r="L93" s="42">
        <f t="shared" si="25"/>
        <v>135.9768220291183</v>
      </c>
      <c r="M93" s="42">
        <v>0</v>
      </c>
      <c r="N93" s="43">
        <f t="shared" si="26"/>
        <v>17.080785060985107</v>
      </c>
      <c r="O93" s="27">
        <f t="shared" si="27"/>
        <v>-353.40419887123386</v>
      </c>
      <c r="P93" s="27">
        <f t="shared" si="28"/>
        <v>54.256032172512512</v>
      </c>
      <c r="Q93" s="27">
        <f t="shared" si="29"/>
        <v>179.78892171977859</v>
      </c>
      <c r="R93" s="73">
        <f t="shared" si="30"/>
        <v>-179.78892171977859</v>
      </c>
    </row>
    <row r="94" spans="2:18" x14ac:dyDescent="0.3">
      <c r="B94" s="74">
        <f t="shared" si="31"/>
        <v>39.340114472684839</v>
      </c>
      <c r="C94" s="26">
        <f t="shared" si="16"/>
        <v>385.65988552731517</v>
      </c>
      <c r="D94" s="34">
        <f t="shared" si="17"/>
        <v>64697.965658194553</v>
      </c>
      <c r="E94" s="34">
        <f t="shared" si="18"/>
        <v>42000</v>
      </c>
      <c r="F94" s="34">
        <f t="shared" si="19"/>
        <v>57984.186225654674</v>
      </c>
      <c r="G94" s="35" t="b">
        <f t="shared" si="20"/>
        <v>1</v>
      </c>
      <c r="H94" s="33">
        <f t="shared" si="21"/>
        <v>1.2959183441585125</v>
      </c>
      <c r="I94" s="36">
        <f t="shared" si="22"/>
        <v>-2.4966871379781978E-2</v>
      </c>
      <c r="J94" s="39">
        <f t="shared" si="23"/>
        <v>144.36874858576408</v>
      </c>
      <c r="K94" s="39">
        <f t="shared" si="24"/>
        <v>344.94546017486243</v>
      </c>
      <c r="L94" s="42">
        <f t="shared" si="25"/>
        <v>135.75607280240061</v>
      </c>
      <c r="M94" s="42">
        <v>0</v>
      </c>
      <c r="N94" s="43">
        <f t="shared" si="26"/>
        <v>17.301534287702793</v>
      </c>
      <c r="O94" s="27">
        <f t="shared" si="27"/>
        <v>-360.91680633188372</v>
      </c>
      <c r="P94" s="27">
        <f t="shared" si="28"/>
        <v>54.585431148781723</v>
      </c>
      <c r="Q94" s="27">
        <f t="shared" si="29"/>
        <v>183.62245999639362</v>
      </c>
      <c r="R94" s="73">
        <f t="shared" si="30"/>
        <v>-183.62245999639362</v>
      </c>
    </row>
    <row r="95" spans="2:18" x14ac:dyDescent="0.3">
      <c r="B95" s="74">
        <f t="shared" si="31"/>
        <v>40.14297395171922</v>
      </c>
      <c r="C95" s="26">
        <f t="shared" si="16"/>
        <v>384.85702604828077</v>
      </c>
      <c r="D95" s="34">
        <f t="shared" si="17"/>
        <v>64457.107814484232</v>
      </c>
      <c r="E95" s="34">
        <f t="shared" si="18"/>
        <v>42000</v>
      </c>
      <c r="F95" s="34">
        <f t="shared" si="19"/>
        <v>57638.541642311611</v>
      </c>
      <c r="G95" s="35" t="b">
        <f t="shared" si="20"/>
        <v>1</v>
      </c>
      <c r="H95" s="33">
        <f t="shared" si="21"/>
        <v>1.3014357950285929</v>
      </c>
      <c r="I95" s="36">
        <f t="shared" si="22"/>
        <v>-2.6238381042809362E-2</v>
      </c>
      <c r="J95" s="39">
        <f t="shared" si="23"/>
        <v>144.59118983738219</v>
      </c>
      <c r="K95" s="39">
        <f t="shared" si="24"/>
        <v>344.93976384995244</v>
      </c>
      <c r="L95" s="42">
        <f t="shared" si="25"/>
        <v>135.53998701511443</v>
      </c>
      <c r="M95" s="42">
        <v>0</v>
      </c>
      <c r="N95" s="43">
        <f t="shared" si="26"/>
        <v>17.517620074988969</v>
      </c>
      <c r="O95" s="27">
        <f t="shared" si="27"/>
        <v>-368.71110170232384</v>
      </c>
      <c r="P95" s="27">
        <f t="shared" si="28"/>
        <v>54.923384338575609</v>
      </c>
      <c r="Q95" s="27">
        <f t="shared" si="29"/>
        <v>187.59749085523919</v>
      </c>
      <c r="R95" s="73">
        <f t="shared" si="30"/>
        <v>-187.59749085523919</v>
      </c>
    </row>
    <row r="96" spans="2:18" x14ac:dyDescent="0.3">
      <c r="B96" s="74">
        <f t="shared" si="31"/>
        <v>40.945833430753602</v>
      </c>
      <c r="C96" s="26">
        <f t="shared" si="16"/>
        <v>384.05416656924638</v>
      </c>
      <c r="D96" s="34">
        <f t="shared" si="17"/>
        <v>64216.249970773912</v>
      </c>
      <c r="E96" s="34">
        <f t="shared" si="18"/>
        <v>42000</v>
      </c>
      <c r="F96" s="34">
        <f t="shared" si="19"/>
        <v>57294.186225654674</v>
      </c>
      <c r="G96" s="35" t="b">
        <f t="shared" si="20"/>
        <v>1</v>
      </c>
      <c r="H96" s="33">
        <f t="shared" si="21"/>
        <v>1.3069438059650207</v>
      </c>
      <c r="I96" s="36">
        <f t="shared" si="22"/>
        <v>-2.7482660210470907E-2</v>
      </c>
      <c r="J96" s="39">
        <f t="shared" si="23"/>
        <v>144.80886013085814</v>
      </c>
      <c r="K96" s="39">
        <f t="shared" si="24"/>
        <v>344.93391570602262</v>
      </c>
      <c r="L96" s="42">
        <f t="shared" si="25"/>
        <v>135.32853587288068</v>
      </c>
      <c r="M96" s="42">
        <v>0</v>
      </c>
      <c r="N96" s="43">
        <f t="shared" si="26"/>
        <v>17.729071217222724</v>
      </c>
      <c r="O96" s="27">
        <f t="shared" si="27"/>
        <v>-376.80460163228605</v>
      </c>
      <c r="P96" s="27">
        <f t="shared" si="28"/>
        <v>55.270381995664728</v>
      </c>
      <c r="Q96" s="27">
        <f t="shared" si="29"/>
        <v>191.72288955795204</v>
      </c>
      <c r="R96" s="73">
        <f t="shared" si="30"/>
        <v>-191.72288955795204</v>
      </c>
    </row>
    <row r="97" spans="2:18" x14ac:dyDescent="0.3">
      <c r="B97" s="74">
        <f t="shared" si="31"/>
        <v>41.748692909787984</v>
      </c>
      <c r="C97" s="26">
        <f t="shared" si="16"/>
        <v>383.25130709021204</v>
      </c>
      <c r="D97" s="34">
        <f t="shared" si="17"/>
        <v>63975.392127063613</v>
      </c>
      <c r="E97" s="34">
        <f t="shared" si="18"/>
        <v>42000</v>
      </c>
      <c r="F97" s="34">
        <f t="shared" si="19"/>
        <v>56951.11997568392</v>
      </c>
      <c r="G97" s="35" t="b">
        <f t="shared" si="20"/>
        <v>1</v>
      </c>
      <c r="H97" s="33">
        <f t="shared" si="21"/>
        <v>1.3124427032757133</v>
      </c>
      <c r="I97" s="36">
        <f t="shared" si="22"/>
        <v>-2.8699870846441808E-2</v>
      </c>
      <c r="J97" s="39">
        <f t="shared" si="23"/>
        <v>145.02178793866031</v>
      </c>
      <c r="K97" s="39">
        <f t="shared" si="24"/>
        <v>344.92793272058964</v>
      </c>
      <c r="L97" s="42">
        <f t="shared" si="25"/>
        <v>135.12169171673</v>
      </c>
      <c r="M97" s="42">
        <v>0</v>
      </c>
      <c r="N97" s="43">
        <f t="shared" si="26"/>
        <v>17.935915373373405</v>
      </c>
      <c r="O97" s="27">
        <f t="shared" si="27"/>
        <v>-385.21627690195919</v>
      </c>
      <c r="P97" s="27">
        <f t="shared" si="28"/>
        <v>55.626956974939226</v>
      </c>
      <c r="Q97" s="27">
        <f t="shared" si="29"/>
        <v>196.00826700707142</v>
      </c>
      <c r="R97" s="73">
        <f t="shared" si="30"/>
        <v>-196.00826700707142</v>
      </c>
    </row>
    <row r="98" spans="2:18" x14ac:dyDescent="0.3">
      <c r="B98" s="74">
        <f t="shared" si="31"/>
        <v>42.551552388822365</v>
      </c>
      <c r="C98" s="26">
        <f t="shared" si="16"/>
        <v>382.44844761117764</v>
      </c>
      <c r="D98" s="34">
        <f t="shared" si="17"/>
        <v>63734.534283353292</v>
      </c>
      <c r="E98" s="34">
        <f t="shared" si="18"/>
        <v>42000</v>
      </c>
      <c r="F98" s="34">
        <f t="shared" si="19"/>
        <v>56609.342892399291</v>
      </c>
      <c r="G98" s="35" t="b">
        <f t="shared" si="20"/>
        <v>1</v>
      </c>
      <c r="H98" s="33">
        <f t="shared" si="21"/>
        <v>1.3179328064877875</v>
      </c>
      <c r="I98" s="36">
        <f t="shared" si="22"/>
        <v>-2.9890168272810269E-2</v>
      </c>
      <c r="J98" s="39">
        <f t="shared" si="23"/>
        <v>145.23000060015636</v>
      </c>
      <c r="K98" s="39">
        <f t="shared" si="24"/>
        <v>344.9218313811125</v>
      </c>
      <c r="L98" s="42">
        <f t="shared" si="25"/>
        <v>134.91942798841953</v>
      </c>
      <c r="M98" s="42">
        <v>0</v>
      </c>
      <c r="N98" s="43">
        <f t="shared" si="26"/>
        <v>18.138179101683875</v>
      </c>
      <c r="O98" s="27">
        <f t="shared" si="27"/>
        <v>-393.96670727615526</v>
      </c>
      <c r="P98" s="27">
        <f t="shared" si="28"/>
        <v>55.993689201911302</v>
      </c>
      <c r="Q98" s="27">
        <f t="shared" si="29"/>
        <v>200.46404811046838</v>
      </c>
      <c r="R98" s="73">
        <f t="shared" si="30"/>
        <v>-200.46404811046838</v>
      </c>
    </row>
    <row r="99" spans="2:18" x14ac:dyDescent="0.3">
      <c r="B99" s="74">
        <f t="shared" si="31"/>
        <v>43.354411867856747</v>
      </c>
      <c r="C99" s="26">
        <f t="shared" si="16"/>
        <v>381.64558813214325</v>
      </c>
      <c r="D99" s="34">
        <f t="shared" si="17"/>
        <v>63493.676439642972</v>
      </c>
      <c r="E99" s="34">
        <f t="shared" si="18"/>
        <v>42000</v>
      </c>
      <c r="F99" s="34">
        <f t="shared" si="19"/>
        <v>56268.854975800816</v>
      </c>
      <c r="G99" s="35" t="b">
        <f t="shared" si="20"/>
        <v>1</v>
      </c>
      <c r="H99" s="33">
        <f t="shared" si="21"/>
        <v>1.3234144285899234</v>
      </c>
      <c r="I99" s="36">
        <f t="shared" si="22"/>
        <v>-3.1053701378363885E-2</v>
      </c>
      <c r="J99" s="39">
        <f t="shared" si="23"/>
        <v>145.43352435571819</v>
      </c>
      <c r="K99" s="39">
        <f t="shared" si="24"/>
        <v>344.91562769825862</v>
      </c>
      <c r="L99" s="42">
        <f t="shared" si="25"/>
        <v>134.72171919730232</v>
      </c>
      <c r="M99" s="42">
        <v>0</v>
      </c>
      <c r="N99" s="43">
        <f t="shared" si="26"/>
        <v>18.335887892801082</v>
      </c>
      <c r="O99" s="27">
        <f t="shared" si="27"/>
        <v>-403.07825655021765</v>
      </c>
      <c r="P99" s="27">
        <f t="shared" si="28"/>
        <v>56.371210727670864</v>
      </c>
      <c r="Q99" s="27">
        <f t="shared" si="29"/>
        <v>205.10156036304855</v>
      </c>
      <c r="R99" s="73">
        <f t="shared" si="30"/>
        <v>-205.10156036304855</v>
      </c>
    </row>
    <row r="100" spans="2:18" x14ac:dyDescent="0.3">
      <c r="B100" s="74">
        <f t="shared" si="31"/>
        <v>44.157271346891129</v>
      </c>
      <c r="C100" s="26">
        <f t="shared" si="16"/>
        <v>380.84272865310885</v>
      </c>
      <c r="D100" s="34">
        <f t="shared" si="17"/>
        <v>63252.818595932658</v>
      </c>
      <c r="E100" s="34">
        <f t="shared" si="18"/>
        <v>42000</v>
      </c>
      <c r="F100" s="34">
        <f t="shared" si="19"/>
        <v>55929.656225888495</v>
      </c>
      <c r="G100" s="35" t="b">
        <f t="shared" si="20"/>
        <v>1</v>
      </c>
      <c r="H100" s="33">
        <f t="shared" si="21"/>
        <v>1.3288878762638745</v>
      </c>
      <c r="I100" s="36">
        <f t="shared" si="22"/>
        <v>-3.2190612817632913E-2</v>
      </c>
      <c r="J100" s="39">
        <f t="shared" si="23"/>
        <v>145.63238437931605</v>
      </c>
      <c r="K100" s="39">
        <f t="shared" si="24"/>
        <v>344.90933721846767</v>
      </c>
      <c r="L100" s="42">
        <f t="shared" si="25"/>
        <v>134.52854088866439</v>
      </c>
      <c r="M100" s="42">
        <v>0</v>
      </c>
      <c r="N100" s="43">
        <f t="shared" si="26"/>
        <v>18.529066201439008</v>
      </c>
      <c r="O100" s="27">
        <f t="shared" si="27"/>
        <v>-412.57527092897584</v>
      </c>
      <c r="P100" s="27">
        <f t="shared" si="28"/>
        <v>56.760211460242928</v>
      </c>
      <c r="Q100" s="27">
        <f t="shared" si="29"/>
        <v>209.93313423530307</v>
      </c>
      <c r="R100" s="73">
        <f t="shared" si="30"/>
        <v>-209.93313423530307</v>
      </c>
    </row>
    <row r="101" spans="2:18" x14ac:dyDescent="0.3">
      <c r="B101" s="74">
        <f t="shared" si="31"/>
        <v>44.960130825925511</v>
      </c>
      <c r="C101" s="26">
        <f t="shared" si="16"/>
        <v>380.03986917407451</v>
      </c>
      <c r="D101" s="34">
        <f t="shared" si="17"/>
        <v>63011.960752222352</v>
      </c>
      <c r="E101" s="34">
        <f t="shared" si="18"/>
        <v>42000</v>
      </c>
      <c r="F101" s="34">
        <f t="shared" si="19"/>
        <v>55591.746642662329</v>
      </c>
      <c r="G101" s="35" t="b">
        <f t="shared" si="20"/>
        <v>1</v>
      </c>
      <c r="H101" s="33">
        <f t="shared" si="21"/>
        <v>1.3343534501056933</v>
      </c>
      <c r="I101" s="36">
        <f t="shared" si="22"/>
        <v>-3.3301039201186794E-2</v>
      </c>
      <c r="J101" s="39">
        <f t="shared" si="23"/>
        <v>145.82660480968255</v>
      </c>
      <c r="K101" s="39">
        <f t="shared" si="24"/>
        <v>344.9029750358518</v>
      </c>
      <c r="L101" s="42">
        <f t="shared" si="25"/>
        <v>134.33986961345124</v>
      </c>
      <c r="M101" s="42">
        <v>0</v>
      </c>
      <c r="N101" s="43">
        <f t="shared" si="26"/>
        <v>18.717737476652161</v>
      </c>
      <c r="O101" s="27">
        <f t="shared" si="27"/>
        <v>-422.48430445114695</v>
      </c>
      <c r="P101" s="27">
        <f t="shared" si="28"/>
        <v>57.161445679836717</v>
      </c>
      <c r="Q101" s="27">
        <f t="shared" si="29"/>
        <v>214.97221724727396</v>
      </c>
      <c r="R101" s="73">
        <f t="shared" si="30"/>
        <v>-214.97221724727396</v>
      </c>
    </row>
    <row r="102" spans="2:18" x14ac:dyDescent="0.3">
      <c r="B102" s="74">
        <f t="shared" si="31"/>
        <v>45.762990304959892</v>
      </c>
      <c r="C102" s="26">
        <f t="shared" si="16"/>
        <v>379.23700969504011</v>
      </c>
      <c r="D102" s="34">
        <f t="shared" si="17"/>
        <v>62771.102908512032</v>
      </c>
      <c r="E102" s="34">
        <f t="shared" si="18"/>
        <v>42000</v>
      </c>
      <c r="F102" s="34">
        <f t="shared" si="19"/>
        <v>55255.126226122316</v>
      </c>
      <c r="G102" s="35" t="b">
        <f t="shared" si="20"/>
        <v>1</v>
      </c>
      <c r="H102" s="33">
        <f t="shared" si="21"/>
        <v>1.3398114448372063</v>
      </c>
      <c r="I102" s="36">
        <f t="shared" si="22"/>
        <v>-3.4385111277652043E-2</v>
      </c>
      <c r="J102" s="39">
        <f t="shared" si="23"/>
        <v>146.01620878012307</v>
      </c>
      <c r="K102" s="39">
        <f t="shared" si="24"/>
        <v>344.89655580346334</v>
      </c>
      <c r="L102" s="42">
        <f t="shared" si="25"/>
        <v>134.15568289930903</v>
      </c>
      <c r="M102" s="42">
        <v>0</v>
      </c>
      <c r="N102" s="43">
        <f t="shared" si="26"/>
        <v>18.901924190794375</v>
      </c>
      <c r="O102" s="27">
        <f t="shared" si="27"/>
        <v>-432.83437586224801</v>
      </c>
      <c r="P102" s="27">
        <f t="shared" si="28"/>
        <v>57.575739465482421</v>
      </c>
      <c r="Q102" s="27">
        <f t="shared" si="29"/>
        <v>220.23350395598186</v>
      </c>
      <c r="R102" s="73">
        <f t="shared" si="30"/>
        <v>-220.23350395598186</v>
      </c>
    </row>
    <row r="103" spans="2:18" x14ac:dyDescent="0.3">
      <c r="B103" s="74">
        <f t="shared" si="31"/>
        <v>46.565849783994274</v>
      </c>
      <c r="C103" s="26">
        <f t="shared" si="16"/>
        <v>378.43415021600572</v>
      </c>
      <c r="D103" s="34">
        <f t="shared" si="17"/>
        <v>62530.245064801718</v>
      </c>
      <c r="E103" s="34">
        <f t="shared" si="18"/>
        <v>42000</v>
      </c>
      <c r="F103" s="34">
        <f t="shared" si="19"/>
        <v>54919.794976268429</v>
      </c>
      <c r="G103" s="35" t="b">
        <f t="shared" si="20"/>
        <v>1</v>
      </c>
      <c r="H103" s="33">
        <f t="shared" si="21"/>
        <v>1.3452621495082471</v>
      </c>
      <c r="I103" s="36">
        <f t="shared" si="22"/>
        <v>-3.5442954107891646E-2</v>
      </c>
      <c r="J103" s="39">
        <f t="shared" si="23"/>
        <v>146.20121844704434</v>
      </c>
      <c r="K103" s="39">
        <f t="shared" si="24"/>
        <v>344.89009374396267</v>
      </c>
      <c r="L103" s="42">
        <f t="shared" si="25"/>
        <v>133.97595922287121</v>
      </c>
      <c r="M103" s="42">
        <v>0</v>
      </c>
      <c r="N103" s="43">
        <f t="shared" si="26"/>
        <v>19.081647867232192</v>
      </c>
      <c r="O103" s="27">
        <f t="shared" si="27"/>
        <v>-443.65726217774761</v>
      </c>
      <c r="P103" s="27">
        <f t="shared" si="28"/>
        <v>58.003999184843707</v>
      </c>
      <c r="Q103" s="27">
        <f t="shared" si="29"/>
        <v>225.73308450875606</v>
      </c>
      <c r="R103" s="73">
        <f t="shared" si="30"/>
        <v>-225.73308450875606</v>
      </c>
    </row>
    <row r="104" spans="2:18" x14ac:dyDescent="0.3">
      <c r="B104" s="74">
        <f t="shared" si="31"/>
        <v>47.368709263028656</v>
      </c>
      <c r="C104" s="26">
        <f t="shared" si="16"/>
        <v>377.63129073697132</v>
      </c>
      <c r="D104" s="34">
        <f t="shared" si="17"/>
        <v>62289.387221091398</v>
      </c>
      <c r="E104" s="34">
        <f t="shared" si="18"/>
        <v>42000</v>
      </c>
      <c r="F104" s="34">
        <f t="shared" si="19"/>
        <v>54585.752893100711</v>
      </c>
      <c r="G104" s="35" t="b">
        <f t="shared" si="20"/>
        <v>1</v>
      </c>
      <c r="H104" s="33">
        <f t="shared" si="21"/>
        <v>1.3507058476901217</v>
      </c>
      <c r="I104" s="36">
        <f t="shared" si="22"/>
        <v>-3.6474687231757896E-2</v>
      </c>
      <c r="J104" s="39">
        <f t="shared" si="23"/>
        <v>146.38165501726857</v>
      </c>
      <c r="K104" s="39">
        <f t="shared" si="24"/>
        <v>344.88360265971357</v>
      </c>
      <c r="L104" s="42">
        <f t="shared" si="25"/>
        <v>133.80067798322483</v>
      </c>
      <c r="M104" s="42">
        <v>0</v>
      </c>
      <c r="N104" s="43">
        <f t="shared" si="26"/>
        <v>19.256929106878573</v>
      </c>
      <c r="O104" s="27">
        <f t="shared" si="27"/>
        <v>-454.98783520094315</v>
      </c>
      <c r="P104" s="27">
        <f t="shared" si="28"/>
        <v>58.44722122861684</v>
      </c>
      <c r="Q104" s="27">
        <f t="shared" si="29"/>
        <v>231.48861493243484</v>
      </c>
      <c r="R104" s="73">
        <f t="shared" si="30"/>
        <v>-231.48861493243484</v>
      </c>
    </row>
    <row r="105" spans="2:18" x14ac:dyDescent="0.3">
      <c r="B105" s="74">
        <f t="shared" si="31"/>
        <v>48.171568742063037</v>
      </c>
      <c r="C105" s="26">
        <f t="shared" si="16"/>
        <v>376.82843125793698</v>
      </c>
      <c r="D105" s="34">
        <f t="shared" si="17"/>
        <v>62048.529377381092</v>
      </c>
      <c r="E105" s="34">
        <f t="shared" si="18"/>
        <v>42000</v>
      </c>
      <c r="F105" s="34">
        <f t="shared" si="19"/>
        <v>54252.999976619161</v>
      </c>
      <c r="G105" s="35" t="b">
        <f t="shared" si="20"/>
        <v>1</v>
      </c>
      <c r="H105" s="33">
        <f t="shared" si="21"/>
        <v>1.35614281766074</v>
      </c>
      <c r="I105" s="36">
        <f t="shared" si="22"/>
        <v>-3.7480424827805413E-2</v>
      </c>
      <c r="J105" s="39">
        <f t="shared" si="23"/>
        <v>146.55753877419619</v>
      </c>
      <c r="K105" s="39">
        <f t="shared" si="24"/>
        <v>344.87709594233581</v>
      </c>
      <c r="L105" s="42">
        <f t="shared" si="25"/>
        <v>133.62981947649513</v>
      </c>
      <c r="M105" s="42">
        <v>0</v>
      </c>
      <c r="N105" s="43">
        <f t="shared" si="26"/>
        <v>19.427787613608274</v>
      </c>
      <c r="O105" s="27">
        <f t="shared" si="27"/>
        <v>-466.86444851290844</v>
      </c>
      <c r="P105" s="27">
        <f t="shared" si="28"/>
        <v>58.906503207215891</v>
      </c>
      <c r="Q105" s="27">
        <f t="shared" si="29"/>
        <v>237.51951296238187</v>
      </c>
      <c r="R105" s="73">
        <f t="shared" si="30"/>
        <v>-237.51951296238187</v>
      </c>
    </row>
    <row r="106" spans="2:18" x14ac:dyDescent="0.3">
      <c r="B106" s="74">
        <f t="shared" si="31"/>
        <v>48.974428221097419</v>
      </c>
      <c r="C106" s="26">
        <f t="shared" si="16"/>
        <v>376.02557177890259</v>
      </c>
      <c r="D106" s="34">
        <f t="shared" si="17"/>
        <v>61807.671533670778</v>
      </c>
      <c r="E106" s="34">
        <f t="shared" si="18"/>
        <v>42000</v>
      </c>
      <c r="F106" s="34">
        <f t="shared" si="19"/>
        <v>53921.536226823751</v>
      </c>
      <c r="G106" s="35" t="b">
        <f t="shared" si="20"/>
        <v>1</v>
      </c>
      <c r="H106" s="33">
        <f t="shared" si="21"/>
        <v>1.3615733325818489</v>
      </c>
      <c r="I106" s="36">
        <f t="shared" si="22"/>
        <v>-3.8460275866330731E-2</v>
      </c>
      <c r="J106" s="39">
        <f t="shared" si="23"/>
        <v>146.72888910287728</v>
      </c>
      <c r="K106" s="39">
        <f t="shared" si="24"/>
        <v>344.87058658173817</v>
      </c>
      <c r="L106" s="42">
        <f t="shared" si="25"/>
        <v>133.46336487149065</v>
      </c>
      <c r="M106" s="42">
        <v>0</v>
      </c>
      <c r="N106" s="43">
        <f t="shared" si="26"/>
        <v>19.594242218612749</v>
      </c>
      <c r="O106" s="27">
        <f t="shared" si="27"/>
        <v>-479.32938399391088</v>
      </c>
      <c r="P106" s="27">
        <f t="shared" si="28"/>
        <v>59.383056872106884</v>
      </c>
      <c r="Q106" s="27">
        <f t="shared" si="29"/>
        <v>243.84718399557582</v>
      </c>
      <c r="R106" s="73">
        <f t="shared" si="30"/>
        <v>-243.84718399557582</v>
      </c>
    </row>
    <row r="107" spans="2:18" x14ac:dyDescent="0.3">
      <c r="B107" s="74">
        <f t="shared" si="31"/>
        <v>49.777287700131801</v>
      </c>
      <c r="C107" s="26">
        <f t="shared" si="16"/>
        <v>375.22271229986819</v>
      </c>
      <c r="D107" s="34">
        <f t="shared" si="17"/>
        <v>61566.813689960458</v>
      </c>
      <c r="E107" s="34">
        <f t="shared" si="18"/>
        <v>42000</v>
      </c>
      <c r="F107" s="34">
        <f t="shared" si="19"/>
        <v>53591.361643714481</v>
      </c>
      <c r="G107" s="35" t="b">
        <f t="shared" si="20"/>
        <v>1</v>
      </c>
      <c r="H107" s="33">
        <f t="shared" si="21"/>
        <v>1.3669976606687411</v>
      </c>
      <c r="I107" s="36">
        <f t="shared" si="22"/>
        <v>-3.9414344256080334E-2</v>
      </c>
      <c r="J107" s="39">
        <f t="shared" si="23"/>
        <v>146.89572451404757</v>
      </c>
      <c r="K107" s="39">
        <f t="shared" si="24"/>
        <v>344.86408717465793</v>
      </c>
      <c r="L107" s="42">
        <f t="shared" si="25"/>
        <v>133.3012961863538</v>
      </c>
      <c r="M107" s="42">
        <v>0</v>
      </c>
      <c r="N107" s="43">
        <f t="shared" si="26"/>
        <v>19.756310903749608</v>
      </c>
      <c r="O107" s="27">
        <f t="shared" si="27"/>
        <v>-492.42936884285274</v>
      </c>
      <c r="P107" s="27">
        <f t="shared" si="28"/>
        <v>59.87822307939193</v>
      </c>
      <c r="Q107" s="27">
        <f t="shared" si="29"/>
        <v>250.49528271708905</v>
      </c>
      <c r="R107" s="73">
        <f t="shared" si="30"/>
        <v>-250.49528271708905</v>
      </c>
    </row>
    <row r="108" spans="2:18" x14ac:dyDescent="0.3">
      <c r="B108" s="74">
        <f t="shared" si="31"/>
        <v>50.580147179166183</v>
      </c>
      <c r="C108" s="26">
        <f t="shared" si="16"/>
        <v>374.4198528208338</v>
      </c>
      <c r="D108" s="34">
        <f t="shared" si="17"/>
        <v>61325.955846250137</v>
      </c>
      <c r="E108" s="34">
        <f t="shared" si="18"/>
        <v>42000</v>
      </c>
      <c r="F108" s="34">
        <f t="shared" si="19"/>
        <v>53262.47622729135</v>
      </c>
      <c r="G108" s="35" t="b">
        <f t="shared" si="20"/>
        <v>1</v>
      </c>
      <c r="H108" s="33">
        <f t="shared" si="21"/>
        <v>1.3724160653528077</v>
      </c>
      <c r="I108" s="36">
        <f t="shared" si="22"/>
        <v>-4.034272898494709E-2</v>
      </c>
      <c r="J108" s="39">
        <f t="shared" si="23"/>
        <v>147.05806266718142</v>
      </c>
      <c r="K108" s="39">
        <f t="shared" si="24"/>
        <v>344.85760993272822</v>
      </c>
      <c r="L108" s="42">
        <f t="shared" si="25"/>
        <v>133.14359626616661</v>
      </c>
      <c r="M108" s="42">
        <v>0</v>
      </c>
      <c r="N108" s="43">
        <f t="shared" si="26"/>
        <v>19.914010823936792</v>
      </c>
      <c r="O108" s="27">
        <f t="shared" si="27"/>
        <v>-506.21617643245099</v>
      </c>
      <c r="P108" s="27">
        <f t="shared" si="28"/>
        <v>60.39348918192001</v>
      </c>
      <c r="Q108" s="27">
        <f t="shared" si="29"/>
        <v>257.49001714913311</v>
      </c>
      <c r="R108" s="73">
        <f t="shared" si="30"/>
        <v>-257.49001714913311</v>
      </c>
    </row>
    <row r="109" spans="2:18" x14ac:dyDescent="0.3">
      <c r="B109" s="74">
        <f t="shared" si="31"/>
        <v>51.383006658200564</v>
      </c>
      <c r="C109" s="26">
        <f t="shared" ref="C109:C145" si="32">Ydo-CourseVérTab</f>
        <v>373.61699334179946</v>
      </c>
      <c r="D109" s="34">
        <f t="shared" ref="D109:D145" si="33">2*(YdTab-Yb)*AD</f>
        <v>61085.098002539838</v>
      </c>
      <c r="E109" s="34">
        <f t="shared" ref="E109:E145" si="34">2*Xb*AD</f>
        <v>42000</v>
      </c>
      <c r="F109" s="34">
        <f t="shared" ref="F109:F145" si="35">AD^2+Xb^2+(YdTab-Yb)^2-BA^2</f>
        <v>52934.879977554403</v>
      </c>
      <c r="G109" s="35" t="b">
        <f t="shared" ref="G109:G145" si="36">a_1Tab^2+b_1Tab^2&gt;=c_1Tab^2</f>
        <v>1</v>
      </c>
      <c r="H109" s="33">
        <f t="shared" ref="H109:H145" si="37">ASIN((b_1Tab*c_1Tab+a_1Tab*SQRT(a_1Tab^2+b_1Tab^2-c_1Tab^2))/(a_1Tab^2+b_1Tab^2))</f>
        <v>1.377828805437306</v>
      </c>
      <c r="I109" s="36">
        <f t="shared" ref="I109:I145" si="38">ASIN(  (Xb-AD*SIN(θTab) ) / BA )</f>
        <v>-4.1245524254966519E-2</v>
      </c>
      <c r="J109" s="39">
        <f t="shared" ref="J109:J145" si="39">Xb-BA*SIN(δTab)</f>
        <v>147.21592039261279</v>
      </c>
      <c r="K109" s="39">
        <f t="shared" ref="K109:K145" si="40">Yb+BA*COS(δTab)</f>
        <v>344.85116669009528</v>
      </c>
      <c r="L109" s="42">
        <f t="shared" ref="L109:L145" si="41">Xb+Yb*SIN(δTab)</f>
        <v>132.99024876146186</v>
      </c>
      <c r="M109" s="42">
        <v>0</v>
      </c>
      <c r="N109" s="43">
        <f t="shared" ref="N109:N145" si="42">Xco-XcTab</f>
        <v>20.067358328641546</v>
      </c>
      <c r="O109" s="27">
        <f t="shared" ref="O109:O144" si="43">(Fv*((XcTab-Xb)*TAN(δTab)+YaTab)*TAN(θTab)+Fv*(XaTab-Xb))/((2*XcTab-2*Xb)*TAN(δTab)+2*Yb)</f>
        <v>-520.74732730186554</v>
      </c>
      <c r="P109" s="27">
        <f t="shared" ref="P109:P144" si="44">-(Fv*(Yb-YaTab)*TAN(δTab)*TAN(θTab)+Fv*((XcTab-XaTab)*TAN(δTab)+Yb))/((2*XcTab-2*Xb)*TAN(δTab)+2*Yb)</f>
        <v>60.930509322050277</v>
      </c>
      <c r="Q109" s="27">
        <f t="shared" ref="Q109:Q144" si="45">(Fv*(Yb-YaTab)*TAN(θTab)+Fv*(Xb-XaTab))/((2*XcTab-2*Xb)*TAN(δTab)+2*Yb)</f>
        <v>264.86050337168831</v>
      </c>
      <c r="R109" s="73">
        <f t="shared" ref="R109:R144" si="46">-XRcTab</f>
        <v>-264.86050337168831</v>
      </c>
    </row>
    <row r="110" spans="2:18" x14ac:dyDescent="0.3">
      <c r="B110" s="74">
        <f t="shared" ref="B110:B144" si="47">B109+CvMaxTab/100</f>
        <v>52.185866137234946</v>
      </c>
      <c r="C110" s="26">
        <f t="shared" si="32"/>
        <v>372.81413386276506</v>
      </c>
      <c r="D110" s="34">
        <f t="shared" si="33"/>
        <v>60844.240158829518</v>
      </c>
      <c r="E110" s="34">
        <f t="shared" si="34"/>
        <v>42000</v>
      </c>
      <c r="F110" s="34">
        <f t="shared" si="35"/>
        <v>52608.572894503595</v>
      </c>
      <c r="G110" s="35" t="b">
        <f t="shared" si="36"/>
        <v>1</v>
      </c>
      <c r="H110" s="33">
        <f t="shared" si="37"/>
        <v>1.3832361352466362</v>
      </c>
      <c r="I110" s="36">
        <f t="shared" si="38"/>
        <v>-4.2122819611892182E-2</v>
      </c>
      <c r="J110" s="39">
        <f t="shared" si="39"/>
        <v>147.36931371277015</v>
      </c>
      <c r="K110" s="39">
        <f t="shared" si="40"/>
        <v>344.84476891060478</v>
      </c>
      <c r="L110" s="42">
        <f t="shared" si="41"/>
        <v>132.84123810759471</v>
      </c>
      <c r="M110" s="42">
        <v>0</v>
      </c>
      <c r="N110" s="43">
        <f t="shared" si="42"/>
        <v>20.216368982508698</v>
      </c>
      <c r="O110" s="27">
        <f t="shared" si="43"/>
        <v>-536.08691031442027</v>
      </c>
      <c r="P110" s="27">
        <f t="shared" si="44"/>
        <v>61.491128205105866</v>
      </c>
      <c r="Q110" s="27">
        <f t="shared" si="45"/>
        <v>272.63918104914222</v>
      </c>
      <c r="R110" s="73">
        <f t="shared" si="46"/>
        <v>-272.63918104914222</v>
      </c>
    </row>
    <row r="111" spans="2:18" x14ac:dyDescent="0.3">
      <c r="B111" s="74">
        <f t="shared" si="47"/>
        <v>52.988725616269328</v>
      </c>
      <c r="C111" s="26">
        <f t="shared" si="32"/>
        <v>372.01127438373067</v>
      </c>
      <c r="D111" s="34">
        <f t="shared" si="33"/>
        <v>60603.382315119197</v>
      </c>
      <c r="E111" s="34">
        <f t="shared" si="34"/>
        <v>42000</v>
      </c>
      <c r="F111" s="34">
        <f t="shared" si="35"/>
        <v>52283.554978138913</v>
      </c>
      <c r="G111" s="35" t="b">
        <f t="shared" si="36"/>
        <v>1</v>
      </c>
      <c r="H111" s="33">
        <f t="shared" si="37"/>
        <v>1.3886383047694539</v>
      </c>
      <c r="I111" s="36">
        <f t="shared" si="38"/>
        <v>-4.2974700069624644E-2</v>
      </c>
      <c r="J111" s="39">
        <f t="shared" si="39"/>
        <v>147.51825786257024</v>
      </c>
      <c r="K111" s="39">
        <f t="shared" si="40"/>
        <v>344.83842769457721</v>
      </c>
      <c r="L111" s="42">
        <f t="shared" si="41"/>
        <v>132.69654950493177</v>
      </c>
      <c r="M111" s="42">
        <v>0</v>
      </c>
      <c r="N111" s="43">
        <f t="shared" si="42"/>
        <v>20.361057585171636</v>
      </c>
      <c r="O111" s="27">
        <f t="shared" si="43"/>
        <v>-552.30654872057835</v>
      </c>
      <c r="P111" s="27">
        <f t="shared" si="44"/>
        <v>62.077409070046535</v>
      </c>
      <c r="Q111" s="27">
        <f t="shared" si="45"/>
        <v>280.86230228199162</v>
      </c>
      <c r="R111" s="73">
        <f t="shared" si="46"/>
        <v>-280.86230228199162</v>
      </c>
    </row>
    <row r="112" spans="2:18" x14ac:dyDescent="0.3">
      <c r="B112" s="74">
        <f t="shared" si="47"/>
        <v>53.791585095303709</v>
      </c>
      <c r="C112" s="26">
        <f t="shared" si="32"/>
        <v>371.20841490469627</v>
      </c>
      <c r="D112" s="34">
        <f t="shared" si="33"/>
        <v>60362.524471408884</v>
      </c>
      <c r="E112" s="34">
        <f t="shared" si="34"/>
        <v>42000</v>
      </c>
      <c r="F112" s="34">
        <f t="shared" si="35"/>
        <v>51959.826228460399</v>
      </c>
      <c r="G112" s="35" t="b">
        <f t="shared" si="36"/>
        <v>1</v>
      </c>
      <c r="H112" s="33">
        <f t="shared" si="37"/>
        <v>1.394035559795902</v>
      </c>
      <c r="I112" s="36">
        <f t="shared" si="38"/>
        <v>-4.3801246229747973E-2</v>
      </c>
      <c r="J112" s="39">
        <f t="shared" si="39"/>
        <v>147.66276730901248</v>
      </c>
      <c r="K112" s="39">
        <f t="shared" si="40"/>
        <v>344.83215378518889</v>
      </c>
      <c r="L112" s="42">
        <f t="shared" si="41"/>
        <v>132.55616889981644</v>
      </c>
      <c r="M112" s="42">
        <v>0</v>
      </c>
      <c r="N112" s="43">
        <f t="shared" si="42"/>
        <v>20.501438190286962</v>
      </c>
      <c r="O112" s="27">
        <f t="shared" si="43"/>
        <v>-569.48654186386045</v>
      </c>
      <c r="P112" s="27">
        <f t="shared" si="44"/>
        <v>62.69166674759461</v>
      </c>
      <c r="Q112" s="27">
        <f t="shared" si="45"/>
        <v>289.57050933754437</v>
      </c>
      <c r="R112" s="73">
        <f t="shared" si="46"/>
        <v>-289.57050933754437</v>
      </c>
    </row>
    <row r="113" spans="2:18" x14ac:dyDescent="0.3">
      <c r="B113" s="74">
        <f t="shared" si="47"/>
        <v>54.594444574338091</v>
      </c>
      <c r="C113" s="26">
        <f t="shared" si="32"/>
        <v>370.40555542566193</v>
      </c>
      <c r="D113" s="34">
        <f t="shared" si="33"/>
        <v>60121.666627698578</v>
      </c>
      <c r="E113" s="34">
        <f t="shared" si="34"/>
        <v>42000</v>
      </c>
      <c r="F113" s="34">
        <f t="shared" si="35"/>
        <v>51637.386645468054</v>
      </c>
      <c r="G113" s="35" t="b">
        <f t="shared" si="36"/>
        <v>1</v>
      </c>
      <c r="H113" s="33">
        <f t="shared" si="37"/>
        <v>1.3994281420492363</v>
      </c>
      <c r="I113" s="36">
        <f t="shared" si="38"/>
        <v>-4.4602534396416774E-2</v>
      </c>
      <c r="J113" s="39">
        <f t="shared" si="39"/>
        <v>147.80285577001408</v>
      </c>
      <c r="K113" s="39">
        <f t="shared" si="40"/>
        <v>344.82595757447564</v>
      </c>
      <c r="L113" s="42">
        <f t="shared" si="41"/>
        <v>132.42008296627205</v>
      </c>
      <c r="M113" s="42">
        <v>0</v>
      </c>
      <c r="N113" s="43">
        <f t="shared" si="42"/>
        <v>20.637524123831355</v>
      </c>
      <c r="O113" s="27">
        <f t="shared" si="43"/>
        <v>-587.71722095182963</v>
      </c>
      <c r="P113" s="27">
        <f t="shared" si="44"/>
        <v>63.336506918612535</v>
      </c>
      <c r="Q113" s="27">
        <f t="shared" si="45"/>
        <v>298.8095207020404</v>
      </c>
      <c r="R113" s="73">
        <f t="shared" si="46"/>
        <v>-298.8095207020404</v>
      </c>
    </row>
    <row r="114" spans="2:18" x14ac:dyDescent="0.3">
      <c r="B114" s="74">
        <f t="shared" si="47"/>
        <v>55.397304053372473</v>
      </c>
      <c r="C114" s="26">
        <f t="shared" si="32"/>
        <v>369.60269594662753</v>
      </c>
      <c r="D114" s="34">
        <f t="shared" si="33"/>
        <v>59880.808783988257</v>
      </c>
      <c r="E114" s="34">
        <f t="shared" si="34"/>
        <v>42000</v>
      </c>
      <c r="F114" s="34">
        <f t="shared" si="35"/>
        <v>51316.236229161848</v>
      </c>
      <c r="G114" s="35" t="b">
        <f t="shared" si="36"/>
        <v>1</v>
      </c>
      <c r="H114" s="33">
        <f t="shared" si="37"/>
        <v>1.404816289312109</v>
      </c>
      <c r="I114" s="36">
        <f t="shared" si="38"/>
        <v>-4.5378636686819337E-2</v>
      </c>
      <c r="J114" s="39">
        <f t="shared" si="39"/>
        <v>147.93853623252284</v>
      </c>
      <c r="K114" s="39">
        <f t="shared" si="40"/>
        <v>344.8198491089754</v>
      </c>
      <c r="L114" s="42">
        <f t="shared" si="41"/>
        <v>132.2882790884064</v>
      </c>
      <c r="M114" s="42">
        <v>0</v>
      </c>
      <c r="N114" s="43">
        <f t="shared" si="42"/>
        <v>20.769328001697005</v>
      </c>
      <c r="O114" s="27">
        <f t="shared" si="43"/>
        <v>-607.1005672296568</v>
      </c>
      <c r="P114" s="27">
        <f t="shared" si="44"/>
        <v>64.014872972708559</v>
      </c>
      <c r="Q114" s="27">
        <f t="shared" si="45"/>
        <v>308.63094991401726</v>
      </c>
      <c r="R114" s="73">
        <f t="shared" si="46"/>
        <v>-308.63094991401726</v>
      </c>
    </row>
    <row r="115" spans="2:18" x14ac:dyDescent="0.3">
      <c r="B115" s="74">
        <f t="shared" si="47"/>
        <v>56.200163532406854</v>
      </c>
      <c r="C115" s="26">
        <f t="shared" si="32"/>
        <v>368.79983646759314</v>
      </c>
      <c r="D115" s="34">
        <f t="shared" si="33"/>
        <v>59639.950940277944</v>
      </c>
      <c r="E115" s="34">
        <f t="shared" si="34"/>
        <v>42000</v>
      </c>
      <c r="F115" s="34">
        <f t="shared" si="35"/>
        <v>50996.374979541783</v>
      </c>
      <c r="G115" s="35" t="b">
        <f t="shared" si="36"/>
        <v>1</v>
      </c>
      <c r="H115" s="33">
        <f t="shared" si="37"/>
        <v>1.4102002355477261</v>
      </c>
      <c r="I115" s="36">
        <f t="shared" si="38"/>
        <v>-4.6129621137432672E-2</v>
      </c>
      <c r="J115" s="39">
        <f t="shared" si="39"/>
        <v>148.06982096994338</v>
      </c>
      <c r="K115" s="39">
        <f t="shared" si="40"/>
        <v>344.81383809502347</v>
      </c>
      <c r="L115" s="42">
        <f t="shared" si="41"/>
        <v>132.16074534348357</v>
      </c>
      <c r="M115" s="42">
        <v>0</v>
      </c>
      <c r="N115" s="43">
        <f t="shared" si="42"/>
        <v>20.896861746619834</v>
      </c>
      <c r="O115" s="27">
        <f t="shared" si="43"/>
        <v>-627.75215378364987</v>
      </c>
      <c r="P115" s="27">
        <f t="shared" si="44"/>
        <v>64.730102240375587</v>
      </c>
      <c r="Q115" s="27">
        <f t="shared" si="45"/>
        <v>319.09328816128965</v>
      </c>
      <c r="R115" s="73">
        <f t="shared" si="46"/>
        <v>-319.09328816128965</v>
      </c>
    </row>
    <row r="116" spans="2:18" x14ac:dyDescent="0.3">
      <c r="B116" s="74">
        <f t="shared" si="47"/>
        <v>57.003023011441236</v>
      </c>
      <c r="C116" s="26">
        <f t="shared" si="32"/>
        <v>367.99697698855874</v>
      </c>
      <c r="D116" s="34">
        <f t="shared" si="33"/>
        <v>59399.093096567623</v>
      </c>
      <c r="E116" s="34">
        <f t="shared" si="34"/>
        <v>42000</v>
      </c>
      <c r="F116" s="34">
        <f t="shared" si="35"/>
        <v>50677.802896607871</v>
      </c>
      <c r="G116" s="35" t="b">
        <f t="shared" si="36"/>
        <v>1</v>
      </c>
      <c r="H116" s="33">
        <f t="shared" si="37"/>
        <v>1.4155802110161511</v>
      </c>
      <c r="I116" s="36">
        <f t="shared" si="38"/>
        <v>-4.6855551806274827E-2</v>
      </c>
      <c r="J116" s="39">
        <f t="shared" si="39"/>
        <v>148.19672155891058</v>
      </c>
      <c r="K116" s="39">
        <f t="shared" si="40"/>
        <v>344.80793390371525</v>
      </c>
      <c r="L116" s="42">
        <f t="shared" si="41"/>
        <v>132.03747048562971</v>
      </c>
      <c r="M116" s="42">
        <v>0</v>
      </c>
      <c r="N116" s="43">
        <f t="shared" si="42"/>
        <v>21.020136604473691</v>
      </c>
      <c r="O116" s="27">
        <f t="shared" si="43"/>
        <v>-649.80348909269912</v>
      </c>
      <c r="P116" s="27">
        <f t="shared" si="44"/>
        <v>65.485993861167444</v>
      </c>
      <c r="Q116" s="27">
        <f t="shared" si="45"/>
        <v>330.26309017090671</v>
      </c>
      <c r="R116" s="73">
        <f t="shared" si="46"/>
        <v>-330.26309017090671</v>
      </c>
    </row>
    <row r="117" spans="2:18" x14ac:dyDescent="0.3">
      <c r="B117" s="74">
        <f t="shared" si="47"/>
        <v>57.805882490475618</v>
      </c>
      <c r="C117" s="26">
        <f t="shared" si="32"/>
        <v>367.1941175095244</v>
      </c>
      <c r="D117" s="34">
        <f t="shared" si="33"/>
        <v>59158.235252857325</v>
      </c>
      <c r="E117" s="34">
        <f t="shared" si="34"/>
        <v>42000</v>
      </c>
      <c r="F117" s="34">
        <f t="shared" si="35"/>
        <v>50360.519980360114</v>
      </c>
      <c r="G117" s="35" t="b">
        <f t="shared" si="36"/>
        <v>1</v>
      </c>
      <c r="H117" s="33">
        <f t="shared" si="37"/>
        <v>1.4209564423859289</v>
      </c>
      <c r="I117" s="36">
        <f t="shared" si="38"/>
        <v>-4.7556488871346878E-2</v>
      </c>
      <c r="J117" s="39">
        <f t="shared" si="39"/>
        <v>148.31924889544209</v>
      </c>
      <c r="K117" s="39">
        <f t="shared" si="40"/>
        <v>344.80214557554973</v>
      </c>
      <c r="L117" s="42">
        <f t="shared" si="41"/>
        <v>131.91844393014196</v>
      </c>
      <c r="M117" s="42">
        <v>0</v>
      </c>
      <c r="N117" s="43">
        <f t="shared" si="42"/>
        <v>21.139163159961441</v>
      </c>
      <c r="O117" s="27">
        <f t="shared" si="43"/>
        <v>-673.40486276465538</v>
      </c>
      <c r="P117" s="27">
        <f t="shared" si="44"/>
        <v>66.286891196841282</v>
      </c>
      <c r="Q117" s="27">
        <f t="shared" si="45"/>
        <v>342.21641421537265</v>
      </c>
      <c r="R117" s="73">
        <f t="shared" si="46"/>
        <v>-342.21641421537265</v>
      </c>
    </row>
    <row r="118" spans="2:18" x14ac:dyDescent="0.3">
      <c r="B118" s="74">
        <f t="shared" si="47"/>
        <v>58.60874196951</v>
      </c>
      <c r="C118" s="26">
        <f t="shared" si="32"/>
        <v>366.39125803049001</v>
      </c>
      <c r="D118" s="34">
        <f t="shared" si="33"/>
        <v>58917.377409147004</v>
      </c>
      <c r="E118" s="34">
        <f t="shared" si="34"/>
        <v>42000</v>
      </c>
      <c r="F118" s="34">
        <f t="shared" si="35"/>
        <v>50044.52623079851</v>
      </c>
      <c r="G118" s="35" t="b">
        <f t="shared" si="36"/>
        <v>1</v>
      </c>
      <c r="H118" s="33">
        <f t="shared" si="37"/>
        <v>1.4263291528412596</v>
      </c>
      <c r="I118" s="36">
        <f t="shared" si="38"/>
        <v>-4.8232488725445173E-2</v>
      </c>
      <c r="J118" s="39">
        <f t="shared" si="39"/>
        <v>148.43741321049973</v>
      </c>
      <c r="K118" s="39">
        <f t="shared" si="40"/>
        <v>344.79648182476467</v>
      </c>
      <c r="L118" s="42">
        <f t="shared" si="41"/>
        <v>131.8036557383717</v>
      </c>
      <c r="M118" s="42">
        <v>0</v>
      </c>
      <c r="N118" s="43">
        <f t="shared" si="42"/>
        <v>21.2539513517317</v>
      </c>
      <c r="O118" s="27">
        <f t="shared" si="43"/>
        <v>-698.72882365402927</v>
      </c>
      <c r="P118" s="27">
        <f t="shared" si="44"/>
        <v>67.137782560309986</v>
      </c>
      <c r="Q118" s="27">
        <f t="shared" si="45"/>
        <v>355.04058211729705</v>
      </c>
      <c r="R118" s="73">
        <f t="shared" si="46"/>
        <v>-355.04058211729705</v>
      </c>
    </row>
    <row r="119" spans="2:18" x14ac:dyDescent="0.3">
      <c r="B119" s="74">
        <f t="shared" si="47"/>
        <v>59.411601448544381</v>
      </c>
      <c r="C119" s="26">
        <f t="shared" si="32"/>
        <v>365.58839855145561</v>
      </c>
      <c r="D119" s="34">
        <f t="shared" si="33"/>
        <v>58676.519565436683</v>
      </c>
      <c r="E119" s="34">
        <f t="shared" si="34"/>
        <v>42000</v>
      </c>
      <c r="F119" s="34">
        <f t="shared" si="35"/>
        <v>49729.821647923047</v>
      </c>
      <c r="G119" s="35" t="b">
        <f t="shared" si="36"/>
        <v>1</v>
      </c>
      <c r="H119" s="33">
        <f t="shared" si="37"/>
        <v>1.4316985621849141</v>
      </c>
      <c r="I119" s="36">
        <f t="shared" si="38"/>
        <v>-4.8883604067521652E-2</v>
      </c>
      <c r="J119" s="39">
        <f t="shared" si="39"/>
        <v>148.55122408498937</v>
      </c>
      <c r="K119" s="39">
        <f t="shared" si="40"/>
        <v>344.79095104337722</v>
      </c>
      <c r="L119" s="42">
        <f t="shared" si="41"/>
        <v>131.69309660315318</v>
      </c>
      <c r="M119" s="42">
        <v>0</v>
      </c>
      <c r="N119" s="43">
        <f t="shared" si="42"/>
        <v>21.364510486950223</v>
      </c>
      <c r="O119" s="27">
        <f t="shared" si="43"/>
        <v>-725.97446061773394</v>
      </c>
      <c r="P119" s="27">
        <f t="shared" si="44"/>
        <v>68.044425191512246</v>
      </c>
      <c r="Q119" s="27">
        <f t="shared" si="45"/>
        <v>368.83634540602935</v>
      </c>
      <c r="R119" s="73">
        <f t="shared" si="46"/>
        <v>-368.83634540602935</v>
      </c>
    </row>
    <row r="120" spans="2:18" x14ac:dyDescent="0.3">
      <c r="B120" s="74">
        <f t="shared" si="47"/>
        <v>60.214460927578763</v>
      </c>
      <c r="C120" s="26">
        <f t="shared" si="32"/>
        <v>364.78553907242122</v>
      </c>
      <c r="D120" s="34">
        <f t="shared" si="33"/>
        <v>58435.661721726363</v>
      </c>
      <c r="E120" s="34">
        <f t="shared" si="34"/>
        <v>42000</v>
      </c>
      <c r="F120" s="34">
        <f t="shared" si="35"/>
        <v>49416.406231733738</v>
      </c>
      <c r="G120" s="35" t="b">
        <f t="shared" si="36"/>
        <v>1</v>
      </c>
      <c r="H120" s="33">
        <f t="shared" si="37"/>
        <v>1.4370648869370584</v>
      </c>
      <c r="I120" s="36">
        <f t="shared" si="38"/>
        <v>-4.9509883990750903E-2</v>
      </c>
      <c r="J120" s="39">
        <f t="shared" si="39"/>
        <v>148.66069046422547</v>
      </c>
      <c r="K120" s="39">
        <f t="shared" si="40"/>
        <v>344.78556130493985</v>
      </c>
      <c r="L120" s="42">
        <f t="shared" si="41"/>
        <v>131.5867578347524</v>
      </c>
      <c r="M120" s="42">
        <v>0</v>
      </c>
      <c r="N120" s="43">
        <f t="shared" si="42"/>
        <v>21.470849255350998</v>
      </c>
      <c r="O120" s="27">
        <f t="shared" si="43"/>
        <v>-755.37271064762979</v>
      </c>
      <c r="P120" s="27">
        <f t="shared" si="44"/>
        <v>69.013498989259588</v>
      </c>
      <c r="Q120" s="27">
        <f t="shared" si="45"/>
        <v>383.720571348909</v>
      </c>
      <c r="R120" s="73">
        <f t="shared" si="46"/>
        <v>-383.720571348909</v>
      </c>
    </row>
    <row r="121" spans="2:18" x14ac:dyDescent="0.3">
      <c r="B121" s="74">
        <f t="shared" si="47"/>
        <v>61.017320406613145</v>
      </c>
      <c r="C121" s="26">
        <f t="shared" si="32"/>
        <v>363.98267959338688</v>
      </c>
      <c r="D121" s="34">
        <f t="shared" si="33"/>
        <v>58194.803878016064</v>
      </c>
      <c r="E121" s="34">
        <f t="shared" si="34"/>
        <v>42000</v>
      </c>
      <c r="F121" s="34">
        <f t="shared" si="35"/>
        <v>49104.279982230597</v>
      </c>
      <c r="G121" s="35" t="b">
        <f t="shared" si="36"/>
        <v>1</v>
      </c>
      <c r="H121" s="33">
        <f t="shared" si="37"/>
        <v>1.4424283404301708</v>
      </c>
      <c r="I121" s="36">
        <f t="shared" si="38"/>
        <v>-5.0111374067464291E-2</v>
      </c>
      <c r="J121" s="39">
        <f t="shared" si="39"/>
        <v>148.76582067188698</v>
      </c>
      <c r="K121" s="39">
        <f t="shared" si="40"/>
        <v>344.78032036802176</v>
      </c>
      <c r="L121" s="42">
        <f t="shared" si="41"/>
        <v>131.4846313473098</v>
      </c>
      <c r="M121" s="42">
        <v>0</v>
      </c>
      <c r="N121" s="43">
        <f t="shared" si="42"/>
        <v>21.572975742793602</v>
      </c>
      <c r="O121" s="27">
        <f t="shared" si="43"/>
        <v>-787.19299403168577</v>
      </c>
      <c r="P121" s="27">
        <f t="shared" si="44"/>
        <v>70.052798677818359</v>
      </c>
      <c r="Q121" s="27">
        <f t="shared" si="45"/>
        <v>399.82960048737363</v>
      </c>
      <c r="R121" s="73">
        <f t="shared" si="46"/>
        <v>-399.82960048737363</v>
      </c>
    </row>
    <row r="122" spans="2:18" x14ac:dyDescent="0.3">
      <c r="B122" s="74">
        <f t="shared" si="47"/>
        <v>61.820179885647526</v>
      </c>
      <c r="C122" s="26">
        <f t="shared" si="32"/>
        <v>363.17982011435248</v>
      </c>
      <c r="D122" s="34">
        <f t="shared" si="33"/>
        <v>57953.946034305744</v>
      </c>
      <c r="E122" s="34">
        <f t="shared" si="34"/>
        <v>42000</v>
      </c>
      <c r="F122" s="34">
        <f t="shared" si="35"/>
        <v>48793.442899413581</v>
      </c>
      <c r="G122" s="35" t="b">
        <f t="shared" si="36"/>
        <v>1</v>
      </c>
      <c r="H122" s="33">
        <f t="shared" si="37"/>
        <v>1.4477891329002257</v>
      </c>
      <c r="I122" s="36">
        <f t="shared" si="38"/>
        <v>-5.0688116431098162E-2</v>
      </c>
      <c r="J122" s="39">
        <f t="shared" si="39"/>
        <v>148.86662242348922</v>
      </c>
      <c r="K122" s="39">
        <f t="shared" si="40"/>
        <v>344.77523567942706</v>
      </c>
      <c r="L122" s="42">
        <f t="shared" si="41"/>
        <v>131.38670964575334</v>
      </c>
      <c r="M122" s="42">
        <v>0</v>
      </c>
      <c r="N122" s="43">
        <f t="shared" si="42"/>
        <v>21.670897444350061</v>
      </c>
      <c r="O122" s="27">
        <f t="shared" si="43"/>
        <v>-821.75158042230237</v>
      </c>
      <c r="P122" s="27">
        <f t="shared" si="44"/>
        <v>71.171476105683425</v>
      </c>
      <c r="Q122" s="27">
        <f t="shared" si="45"/>
        <v>417.32348004913081</v>
      </c>
      <c r="R122" s="73">
        <f t="shared" si="46"/>
        <v>-417.32348004913081</v>
      </c>
    </row>
    <row r="123" spans="2:18" x14ac:dyDescent="0.3">
      <c r="B123" s="74">
        <f t="shared" si="47"/>
        <v>62.623039364681908</v>
      </c>
      <c r="C123" s="26">
        <f t="shared" si="32"/>
        <v>362.37696063531808</v>
      </c>
      <c r="D123" s="34">
        <f t="shared" si="33"/>
        <v>57713.088190595423</v>
      </c>
      <c r="E123" s="34">
        <f t="shared" si="34"/>
        <v>42000</v>
      </c>
      <c r="F123" s="34">
        <f t="shared" si="35"/>
        <v>48483.89498328272</v>
      </c>
      <c r="G123" s="35" t="b">
        <f t="shared" si="36"/>
        <v>1</v>
      </c>
      <c r="H123" s="33">
        <f t="shared" si="37"/>
        <v>1.4531474715742654</v>
      </c>
      <c r="I123" s="36">
        <f t="shared" si="38"/>
        <v>-5.1240149855294001E-2</v>
      </c>
      <c r="J123" s="39">
        <f t="shared" si="39"/>
        <v>148.96310283939442</v>
      </c>
      <c r="K123" s="39">
        <f t="shared" si="40"/>
        <v>344.77031437715743</v>
      </c>
      <c r="L123" s="42">
        <f t="shared" si="41"/>
        <v>131.2929858131597</v>
      </c>
      <c r="M123" s="42">
        <v>0</v>
      </c>
      <c r="N123" s="43">
        <f t="shared" si="42"/>
        <v>21.7646212769437</v>
      </c>
      <c r="O123" s="27">
        <f t="shared" si="43"/>
        <v>-859.42223655494331</v>
      </c>
      <c r="P123" s="27">
        <f t="shared" si="44"/>
        <v>72.380348627618361</v>
      </c>
      <c r="Q123" s="27">
        <f t="shared" si="45"/>
        <v>436.39135192423089</v>
      </c>
      <c r="R123" s="73">
        <f t="shared" si="46"/>
        <v>-436.39135192423089</v>
      </c>
    </row>
    <row r="124" spans="2:18" x14ac:dyDescent="0.3">
      <c r="B124" s="74">
        <f t="shared" si="47"/>
        <v>63.42589884371629</v>
      </c>
      <c r="C124" s="26">
        <f t="shared" si="32"/>
        <v>361.57410115628369</v>
      </c>
      <c r="D124" s="34">
        <f t="shared" si="33"/>
        <v>57472.23034688511</v>
      </c>
      <c r="E124" s="34">
        <f t="shared" si="34"/>
        <v>42000</v>
      </c>
      <c r="F124" s="34">
        <f t="shared" si="35"/>
        <v>48175.636233838013</v>
      </c>
      <c r="G124" s="35" t="b">
        <f t="shared" si="36"/>
        <v>1</v>
      </c>
      <c r="H124" s="33">
        <f t="shared" si="37"/>
        <v>1.4585035607545498</v>
      </c>
      <c r="I124" s="36">
        <f t="shared" si="38"/>
        <v>-5.1767509830287953E-2</v>
      </c>
      <c r="J124" s="39">
        <f t="shared" si="39"/>
        <v>149.05526845738427</v>
      </c>
      <c r="K124" s="39">
        <f t="shared" si="40"/>
        <v>344.76556329312905</v>
      </c>
      <c r="L124" s="42">
        <f t="shared" si="41"/>
        <v>131.20345349854099</v>
      </c>
      <c r="M124" s="42">
        <v>0</v>
      </c>
      <c r="N124" s="43">
        <f t="shared" si="42"/>
        <v>21.854153591562408</v>
      </c>
      <c r="O124" s="27">
        <f t="shared" si="43"/>
        <v>-900.64991616768646</v>
      </c>
      <c r="P124" s="27">
        <f t="shared" si="44"/>
        <v>73.692295597655118</v>
      </c>
      <c r="Q124" s="27">
        <f t="shared" si="45"/>
        <v>457.25838005995286</v>
      </c>
      <c r="R124" s="73">
        <f t="shared" si="46"/>
        <v>-457.25838005995286</v>
      </c>
    </row>
    <row r="125" spans="2:18" x14ac:dyDescent="0.3">
      <c r="B125" s="74">
        <f t="shared" si="47"/>
        <v>64.228758322750679</v>
      </c>
      <c r="C125" s="26">
        <f t="shared" si="32"/>
        <v>360.77124167724935</v>
      </c>
      <c r="D125" s="34">
        <f t="shared" si="33"/>
        <v>57231.372503174804</v>
      </c>
      <c r="E125" s="34">
        <f t="shared" si="34"/>
        <v>42000</v>
      </c>
      <c r="F125" s="34">
        <f t="shared" si="35"/>
        <v>47868.666651079489</v>
      </c>
      <c r="G125" s="35" t="b">
        <f t="shared" si="36"/>
        <v>1</v>
      </c>
      <c r="H125" s="33">
        <f t="shared" si="37"/>
        <v>1.4638576018993872</v>
      </c>
      <c r="I125" s="36">
        <f t="shared" si="38"/>
        <v>-5.2270228636714808E-2</v>
      </c>
      <c r="J125" s="39">
        <f t="shared" si="39"/>
        <v>149.14312524481508</v>
      </c>
      <c r="K125" s="39">
        <f t="shared" si="40"/>
        <v>344.76098895565229</v>
      </c>
      <c r="L125" s="42">
        <f t="shared" si="41"/>
        <v>131.11810690503677</v>
      </c>
      <c r="M125" s="42">
        <v>0</v>
      </c>
      <c r="N125" s="43">
        <f t="shared" si="42"/>
        <v>21.939500185066635</v>
      </c>
      <c r="O125" s="27">
        <f t="shared" si="43"/>
        <v>-945.96855689193387</v>
      </c>
      <c r="P125" s="27">
        <f t="shared" si="44"/>
        <v>75.122773811810902</v>
      </c>
      <c r="Q125" s="27">
        <f t="shared" si="45"/>
        <v>480.19475607107159</v>
      </c>
      <c r="R125" s="73">
        <f t="shared" si="46"/>
        <v>-480.19475607107159</v>
      </c>
    </row>
    <row r="126" spans="2:18" x14ac:dyDescent="0.3">
      <c r="B126" s="74">
        <f t="shared" si="47"/>
        <v>65.03161780178506</v>
      </c>
      <c r="C126" s="26">
        <f t="shared" si="32"/>
        <v>359.96838219821495</v>
      </c>
      <c r="D126" s="34">
        <f t="shared" si="33"/>
        <v>56990.514659464483</v>
      </c>
      <c r="E126" s="34">
        <f t="shared" si="34"/>
        <v>42000</v>
      </c>
      <c r="F126" s="34">
        <f t="shared" si="35"/>
        <v>47562.986235007062</v>
      </c>
      <c r="G126" s="35" t="b">
        <f t="shared" si="36"/>
        <v>1</v>
      </c>
      <c r="H126" s="33">
        <f t="shared" si="37"/>
        <v>1.4692097937007829</v>
      </c>
      <c r="I126" s="36">
        <f t="shared" si="38"/>
        <v>-5.2748335416946505E-2</v>
      </c>
      <c r="J126" s="39">
        <f t="shared" si="39"/>
        <v>149.22667861037593</v>
      </c>
      <c r="K126" s="39">
        <f t="shared" si="40"/>
        <v>344.75659759168127</v>
      </c>
      <c r="L126" s="42">
        <f t="shared" si="41"/>
        <v>131.03694077849195</v>
      </c>
      <c r="M126" s="42">
        <v>0</v>
      </c>
      <c r="N126" s="43">
        <f t="shared" si="42"/>
        <v>22.02066631161145</v>
      </c>
      <c r="O126" s="27">
        <f t="shared" si="43"/>
        <v>-996.02449720912909</v>
      </c>
      <c r="P126" s="27">
        <f t="shared" si="44"/>
        <v>76.69049572403037</v>
      </c>
      <c r="Q126" s="27">
        <f t="shared" si="45"/>
        <v>505.52754872393098</v>
      </c>
      <c r="R126" s="73">
        <f t="shared" si="46"/>
        <v>-505.52754872393098</v>
      </c>
    </row>
    <row r="127" spans="2:18" x14ac:dyDescent="0.3">
      <c r="B127" s="74">
        <f t="shared" si="47"/>
        <v>65.834477280819442</v>
      </c>
      <c r="C127" s="26">
        <f t="shared" si="32"/>
        <v>359.16552271918056</v>
      </c>
      <c r="D127" s="34">
        <f t="shared" si="33"/>
        <v>56749.65681575417</v>
      </c>
      <c r="E127" s="34">
        <f t="shared" si="34"/>
        <v>42000</v>
      </c>
      <c r="F127" s="34">
        <f t="shared" si="35"/>
        <v>47258.594985620817</v>
      </c>
      <c r="G127" s="35" t="b">
        <f t="shared" si="36"/>
        <v>1</v>
      </c>
      <c r="H127" s="33">
        <f t="shared" si="37"/>
        <v>1.4745603321590592</v>
      </c>
      <c r="I127" s="36">
        <f t="shared" si="38"/>
        <v>-5.3201856244083044E-2</v>
      </c>
      <c r="J127" s="39">
        <f t="shared" si="39"/>
        <v>149.3059334154695</v>
      </c>
      <c r="K127" s="39">
        <f t="shared" si="40"/>
        <v>344.75239512884178</v>
      </c>
      <c r="L127" s="42">
        <f t="shared" si="41"/>
        <v>130.95995039640107</v>
      </c>
      <c r="M127" s="42">
        <v>0</v>
      </c>
      <c r="N127" s="43">
        <f t="shared" si="42"/>
        <v>22.097656693702334</v>
      </c>
      <c r="O127" s="27">
        <f t="shared" si="43"/>
        <v>-1051.6076990551994</v>
      </c>
      <c r="P127" s="27">
        <f t="shared" si="44"/>
        <v>78.418333735990302</v>
      </c>
      <c r="Q127" s="27">
        <f t="shared" si="45"/>
        <v>533.65650324551791</v>
      </c>
      <c r="R127" s="73">
        <f t="shared" si="46"/>
        <v>-533.65650324551791</v>
      </c>
    </row>
    <row r="128" spans="2:18" x14ac:dyDescent="0.3">
      <c r="B128" s="74">
        <f t="shared" si="47"/>
        <v>66.637336759853824</v>
      </c>
      <c r="C128" s="26">
        <f t="shared" si="32"/>
        <v>358.36266324014616</v>
      </c>
      <c r="D128" s="34">
        <f t="shared" si="33"/>
        <v>56508.798972043849</v>
      </c>
      <c r="E128" s="34">
        <f t="shared" si="34"/>
        <v>42000</v>
      </c>
      <c r="F128" s="34">
        <f t="shared" si="35"/>
        <v>46955.492902920712</v>
      </c>
      <c r="G128" s="35" t="b">
        <f t="shared" si="36"/>
        <v>1</v>
      </c>
      <c r="H128" s="33">
        <f t="shared" si="37"/>
        <v>1.4799094106545263</v>
      </c>
      <c r="I128" s="36">
        <f t="shared" si="38"/>
        <v>-5.363081418870308E-2</v>
      </c>
      <c r="J128" s="39">
        <f t="shared" si="39"/>
        <v>149.38089398523377</v>
      </c>
      <c r="K128" s="39">
        <f t="shared" si="40"/>
        <v>344.74838719724369</v>
      </c>
      <c r="L128" s="42">
        <f t="shared" si="41"/>
        <v>130.88713155720149</v>
      </c>
      <c r="M128" s="42">
        <v>0</v>
      </c>
      <c r="N128" s="43">
        <f t="shared" si="42"/>
        <v>22.170475532901918</v>
      </c>
      <c r="O128" s="27">
        <f t="shared" si="43"/>
        <v>-1113.6939901627472</v>
      </c>
      <c r="P128" s="27">
        <f t="shared" si="44"/>
        <v>80.334543649919183</v>
      </c>
      <c r="Q128" s="27">
        <f t="shared" si="45"/>
        <v>565.07541685598414</v>
      </c>
      <c r="R128" s="73">
        <f t="shared" si="46"/>
        <v>-565.07541685598414</v>
      </c>
    </row>
    <row r="129" spans="2:18" x14ac:dyDescent="0.3">
      <c r="B129" s="74">
        <f t="shared" si="47"/>
        <v>67.440196238888205</v>
      </c>
      <c r="C129" s="26">
        <f t="shared" si="32"/>
        <v>357.55980376111177</v>
      </c>
      <c r="D129" s="34">
        <f t="shared" si="33"/>
        <v>56267.941128333528</v>
      </c>
      <c r="E129" s="34">
        <f t="shared" si="34"/>
        <v>42000</v>
      </c>
      <c r="F129" s="34">
        <f t="shared" si="35"/>
        <v>46653.679986906762</v>
      </c>
      <c r="G129" s="35" t="b">
        <f t="shared" si="36"/>
        <v>1</v>
      </c>
      <c r="H129" s="33">
        <f t="shared" si="37"/>
        <v>1.485257220016337</v>
      </c>
      <c r="I129" s="36">
        <f t="shared" si="38"/>
        <v>-5.4035229383478767E-2</v>
      </c>
      <c r="J129" s="39">
        <f t="shared" si="39"/>
        <v>149.45156411922216</v>
      </c>
      <c r="K129" s="39">
        <f t="shared" si="40"/>
        <v>344.74457913108557</v>
      </c>
      <c r="L129" s="42">
        <f t="shared" si="41"/>
        <v>130.81848056989847</v>
      </c>
      <c r="M129" s="42">
        <v>0</v>
      </c>
      <c r="N129" s="43">
        <f t="shared" si="42"/>
        <v>22.239126520204934</v>
      </c>
      <c r="O129" s="27">
        <f t="shared" si="43"/>
        <v>-1183.5031472767062</v>
      </c>
      <c r="P129" s="27">
        <f t="shared" si="44"/>
        <v>82.474446918185208</v>
      </c>
      <c r="Q129" s="27">
        <f t="shared" si="45"/>
        <v>600.40153012262215</v>
      </c>
      <c r="R129" s="73">
        <f t="shared" si="46"/>
        <v>-600.40153012262215</v>
      </c>
    </row>
    <row r="130" spans="2:18" x14ac:dyDescent="0.3">
      <c r="B130" s="74">
        <f t="shared" si="47"/>
        <v>68.243055717922587</v>
      </c>
      <c r="C130" s="26">
        <f t="shared" si="32"/>
        <v>356.75694428207743</v>
      </c>
      <c r="D130" s="34">
        <f t="shared" si="33"/>
        <v>56027.08328462323</v>
      </c>
      <c r="E130" s="34">
        <f t="shared" si="34"/>
        <v>42000</v>
      </c>
      <c r="F130" s="34">
        <f t="shared" si="35"/>
        <v>46353.15623757898</v>
      </c>
      <c r="G130" s="35" t="b">
        <f t="shared" si="36"/>
        <v>1</v>
      </c>
      <c r="H130" s="33">
        <f t="shared" si="37"/>
        <v>1.4906039485886164</v>
      </c>
      <c r="I130" s="36">
        <f t="shared" si="38"/>
        <v>-5.4415119085756691E-2</v>
      </c>
      <c r="J130" s="39">
        <f t="shared" si="39"/>
        <v>149.5179471017594</v>
      </c>
      <c r="K130" s="39">
        <f t="shared" si="40"/>
        <v>344.74097597005721</v>
      </c>
      <c r="L130" s="42">
        <f t="shared" si="41"/>
        <v>130.75399424400516</v>
      </c>
      <c r="M130" s="42">
        <v>0</v>
      </c>
      <c r="N130" s="43">
        <f t="shared" si="42"/>
        <v>22.303612846098247</v>
      </c>
      <c r="O130" s="27">
        <f t="shared" si="43"/>
        <v>-1262.5802126510357</v>
      </c>
      <c r="P130" s="27">
        <f t="shared" si="44"/>
        <v>84.882785794731106</v>
      </c>
      <c r="Q130" s="27">
        <f t="shared" si="45"/>
        <v>640.41667485197627</v>
      </c>
      <c r="R130" s="73">
        <f t="shared" si="46"/>
        <v>-640.41667485197627</v>
      </c>
    </row>
    <row r="131" spans="2:18" x14ac:dyDescent="0.3">
      <c r="B131" s="74">
        <f t="shared" si="47"/>
        <v>69.045915196956969</v>
      </c>
      <c r="C131" s="26">
        <f t="shared" si="32"/>
        <v>355.95408480304303</v>
      </c>
      <c r="D131" s="34">
        <f t="shared" si="33"/>
        <v>55786.225440912909</v>
      </c>
      <c r="E131" s="34">
        <f t="shared" si="34"/>
        <v>42000</v>
      </c>
      <c r="F131" s="34">
        <f t="shared" si="35"/>
        <v>46053.921654937323</v>
      </c>
      <c r="G131" s="35" t="b">
        <f t="shared" si="36"/>
        <v>1</v>
      </c>
      <c r="H131" s="33">
        <f t="shared" si="37"/>
        <v>1.4959497822940033</v>
      </c>
      <c r="I131" s="36">
        <f t="shared" si="38"/>
        <v>-5.4770497738198545E-2</v>
      </c>
      <c r="J131" s="39">
        <f t="shared" si="39"/>
        <v>149.58004571198916</v>
      </c>
      <c r="K131" s="39">
        <f t="shared" si="40"/>
        <v>344.73758246054626</v>
      </c>
      <c r="L131" s="42">
        <f t="shared" si="41"/>
        <v>130.69366987978196</v>
      </c>
      <c r="M131" s="42">
        <v>0</v>
      </c>
      <c r="N131" s="43">
        <f t="shared" si="42"/>
        <v>22.363937210321438</v>
      </c>
      <c r="O131" s="27">
        <f t="shared" si="43"/>
        <v>-1352.9116604677658</v>
      </c>
      <c r="P131" s="27">
        <f t="shared" si="44"/>
        <v>87.617087839218442</v>
      </c>
      <c r="Q131" s="27">
        <f t="shared" si="45"/>
        <v>686.12605678958005</v>
      </c>
      <c r="R131" s="73">
        <f t="shared" si="46"/>
        <v>-686.12605678958005</v>
      </c>
    </row>
    <row r="132" spans="2:18" x14ac:dyDescent="0.3">
      <c r="B132" s="74">
        <f t="shared" si="47"/>
        <v>69.848774675991351</v>
      </c>
      <c r="C132" s="26">
        <f t="shared" si="32"/>
        <v>355.15122532400864</v>
      </c>
      <c r="D132" s="34">
        <f t="shared" si="33"/>
        <v>55545.367597202589</v>
      </c>
      <c r="E132" s="34">
        <f t="shared" si="34"/>
        <v>42000</v>
      </c>
      <c r="F132" s="34">
        <f t="shared" si="35"/>
        <v>45755.976238981821</v>
      </c>
      <c r="G132" s="35" t="b">
        <f t="shared" si="36"/>
        <v>1</v>
      </c>
      <c r="H132" s="33">
        <f t="shared" si="37"/>
        <v>1.5012949046946344</v>
      </c>
      <c r="I132" s="36">
        <f t="shared" si="38"/>
        <v>-5.510137702757132E-2</v>
      </c>
      <c r="J132" s="39">
        <f t="shared" si="39"/>
        <v>149.63786223362845</v>
      </c>
      <c r="K132" s="39">
        <f t="shared" si="40"/>
        <v>344.73440305665508</v>
      </c>
      <c r="L132" s="42">
        <f t="shared" si="41"/>
        <v>130.63750525876094</v>
      </c>
      <c r="M132" s="42">
        <v>0</v>
      </c>
      <c r="N132" s="43">
        <f t="shared" si="42"/>
        <v>22.420101831342464</v>
      </c>
      <c r="O132" s="27">
        <f t="shared" si="43"/>
        <v>-1457.0951785203188</v>
      </c>
      <c r="P132" s="27">
        <f t="shared" si="44"/>
        <v>90.752583271386214</v>
      </c>
      <c r="Q132" s="27">
        <f t="shared" si="45"/>
        <v>738.84416879254741</v>
      </c>
      <c r="R132" s="73">
        <f t="shared" si="46"/>
        <v>-738.84416879254741</v>
      </c>
    </row>
    <row r="133" spans="2:18" x14ac:dyDescent="0.3">
      <c r="B133" s="74">
        <f t="shared" si="47"/>
        <v>70.651634155025732</v>
      </c>
      <c r="C133" s="26">
        <f t="shared" si="32"/>
        <v>354.3483658449743</v>
      </c>
      <c r="D133" s="34">
        <f t="shared" si="33"/>
        <v>55304.50975349229</v>
      </c>
      <c r="E133" s="34">
        <f t="shared" si="34"/>
        <v>42000</v>
      </c>
      <c r="F133" s="34">
        <f t="shared" si="35"/>
        <v>45459.319989712487</v>
      </c>
      <c r="G133" s="35" t="b">
        <f t="shared" si="36"/>
        <v>1</v>
      </c>
      <c r="H133" s="33">
        <f t="shared" si="37"/>
        <v>1.5066394970507393</v>
      </c>
      <c r="I133" s="36">
        <f t="shared" si="38"/>
        <v>-5.5407765941777175E-2</v>
      </c>
      <c r="J133" s="39">
        <f t="shared" si="39"/>
        <v>149.69139846444463</v>
      </c>
      <c r="K133" s="39">
        <f t="shared" si="40"/>
        <v>344.73144192103308</v>
      </c>
      <c r="L133" s="42">
        <f t="shared" si="41"/>
        <v>130.5854986345395</v>
      </c>
      <c r="M133" s="42">
        <v>0</v>
      </c>
      <c r="N133" s="43">
        <f t="shared" si="42"/>
        <v>22.472108455563898</v>
      </c>
      <c r="O133" s="27">
        <f t="shared" si="43"/>
        <v>-1578.5943407336033</v>
      </c>
      <c r="P133" s="27">
        <f t="shared" si="44"/>
        <v>94.389581004877158</v>
      </c>
      <c r="Q133" s="27">
        <f t="shared" si="45"/>
        <v>800.32366058505283</v>
      </c>
      <c r="R133" s="73">
        <f t="shared" si="46"/>
        <v>-800.32366058505283</v>
      </c>
    </row>
    <row r="134" spans="2:18" x14ac:dyDescent="0.3">
      <c r="B134" s="74">
        <f t="shared" si="47"/>
        <v>71.454493634060114</v>
      </c>
      <c r="C134" s="26">
        <f t="shared" si="32"/>
        <v>353.5455063659399</v>
      </c>
      <c r="D134" s="34">
        <f t="shared" si="33"/>
        <v>55063.651909781969</v>
      </c>
      <c r="E134" s="34">
        <f t="shared" si="34"/>
        <v>42000</v>
      </c>
      <c r="F134" s="34">
        <f t="shared" si="35"/>
        <v>45163.952907129278</v>
      </c>
      <c r="G134" s="35" t="b">
        <f t="shared" si="36"/>
        <v>1</v>
      </c>
      <c r="H134" s="33">
        <f t="shared" si="37"/>
        <v>1.5119837383768444</v>
      </c>
      <c r="I134" s="36">
        <f t="shared" si="38"/>
        <v>-5.568967082520173E-2</v>
      </c>
      <c r="J134" s="39">
        <f t="shared" si="39"/>
        <v>149.74065572546809</v>
      </c>
      <c r="K134" s="39">
        <f t="shared" si="40"/>
        <v>344.72870292552943</v>
      </c>
      <c r="L134" s="42">
        <f t="shared" si="41"/>
        <v>130.53764872383101</v>
      </c>
      <c r="M134" s="42">
        <v>0</v>
      </c>
      <c r="N134" s="43">
        <f t="shared" si="42"/>
        <v>22.519958366272391</v>
      </c>
      <c r="O134" s="27">
        <f t="shared" si="43"/>
        <v>-1722.1321919607228</v>
      </c>
      <c r="P134" s="27">
        <f t="shared" si="44"/>
        <v>98.66486797459639</v>
      </c>
      <c r="Q134" s="27">
        <f t="shared" si="45"/>
        <v>872.95450110313197</v>
      </c>
      <c r="R134" s="73">
        <f t="shared" si="46"/>
        <v>-872.95450110313197</v>
      </c>
    </row>
    <row r="135" spans="2:18" x14ac:dyDescent="0.3">
      <c r="B135" s="74">
        <f t="shared" si="47"/>
        <v>72.257353113094496</v>
      </c>
      <c r="C135" s="26">
        <f t="shared" si="32"/>
        <v>352.7426468869055</v>
      </c>
      <c r="D135" s="34">
        <f t="shared" si="33"/>
        <v>54822.794066071649</v>
      </c>
      <c r="E135" s="34">
        <f t="shared" si="34"/>
        <v>42000</v>
      </c>
      <c r="F135" s="34">
        <f t="shared" si="35"/>
        <v>44869.874991232238</v>
      </c>
      <c r="G135" s="35" t="b">
        <f t="shared" si="36"/>
        <v>1</v>
      </c>
      <c r="H135" s="33">
        <f t="shared" si="37"/>
        <v>1.5173278054957839</v>
      </c>
      <c r="I135" s="36">
        <f t="shared" si="38"/>
        <v>-5.5947095432465788E-2</v>
      </c>
      <c r="J135" s="39">
        <f t="shared" si="39"/>
        <v>149.78563486995557</v>
      </c>
      <c r="K135" s="39">
        <f t="shared" si="40"/>
        <v>344.72618965167158</v>
      </c>
      <c r="L135" s="42">
        <f t="shared" si="41"/>
        <v>130.49395469775743</v>
      </c>
      <c r="M135" s="42">
        <v>0</v>
      </c>
      <c r="N135" s="43">
        <f t="shared" si="42"/>
        <v>22.563652392345972</v>
      </c>
      <c r="O135" s="27">
        <f t="shared" si="43"/>
        <v>-1894.3209836533631</v>
      </c>
      <c r="P135" s="27">
        <f t="shared" si="44"/>
        <v>103.76994806308235</v>
      </c>
      <c r="Q135" s="27">
        <f t="shared" si="45"/>
        <v>960.08263824310438</v>
      </c>
      <c r="R135" s="73">
        <f t="shared" si="46"/>
        <v>-960.08263824310438</v>
      </c>
    </row>
    <row r="136" spans="2:18" x14ac:dyDescent="0.3">
      <c r="B136" s="74">
        <f t="shared" si="47"/>
        <v>73.060212592128877</v>
      </c>
      <c r="C136" s="26">
        <f t="shared" si="32"/>
        <v>351.93978740787111</v>
      </c>
      <c r="D136" s="34">
        <f t="shared" si="33"/>
        <v>54581.936222361335</v>
      </c>
      <c r="E136" s="34">
        <f t="shared" si="34"/>
        <v>42000</v>
      </c>
      <c r="F136" s="34">
        <f t="shared" si="35"/>
        <v>44577.086242021338</v>
      </c>
      <c r="G136" s="35" t="b">
        <f t="shared" si="36"/>
        <v>1</v>
      </c>
      <c r="H136" s="33">
        <f t="shared" si="37"/>
        <v>1.5226718730904534</v>
      </c>
      <c r="I136" s="36">
        <f t="shared" si="38"/>
        <v>-5.6180040980649881E-2</v>
      </c>
      <c r="J136" s="39">
        <f t="shared" si="39"/>
        <v>149.82633629211597</v>
      </c>
      <c r="K136" s="39">
        <f t="shared" si="40"/>
        <v>344.72390539097461</v>
      </c>
      <c r="L136" s="42">
        <f t="shared" si="41"/>
        <v>130.45441617337306</v>
      </c>
      <c r="M136" s="42">
        <v>0</v>
      </c>
      <c r="N136" s="43">
        <f t="shared" si="42"/>
        <v>22.603190916730341</v>
      </c>
      <c r="O136" s="27">
        <f t="shared" si="43"/>
        <v>-2104.7117333034216</v>
      </c>
      <c r="P136" s="27">
        <f t="shared" si="44"/>
        <v>109.98144031378622</v>
      </c>
      <c r="Q136" s="27">
        <f t="shared" si="45"/>
        <v>1066.5410984365576</v>
      </c>
      <c r="R136" s="73">
        <f t="shared" si="46"/>
        <v>-1066.5410984365576</v>
      </c>
    </row>
    <row r="137" spans="2:18" x14ac:dyDescent="0.3">
      <c r="B137" s="74">
        <f t="shared" si="47"/>
        <v>73.863072071163259</v>
      </c>
      <c r="C137" s="26">
        <f t="shared" si="32"/>
        <v>351.13692792883671</v>
      </c>
      <c r="D137" s="34">
        <f t="shared" si="33"/>
        <v>54341.078378651015</v>
      </c>
      <c r="E137" s="34">
        <f t="shared" si="34"/>
        <v>42000</v>
      </c>
      <c r="F137" s="34">
        <f t="shared" si="35"/>
        <v>44285.586659496592</v>
      </c>
      <c r="G137" s="35" t="b">
        <f t="shared" si="36"/>
        <v>1</v>
      </c>
      <c r="H137" s="33">
        <f t="shared" si="37"/>
        <v>1.5280161137534714</v>
      </c>
      <c r="I137" s="36">
        <f t="shared" si="38"/>
        <v>-5.63885062000688E-2</v>
      </c>
      <c r="J137" s="39">
        <f t="shared" si="39"/>
        <v>149.86275993561199</v>
      </c>
      <c r="K137" s="39">
        <f t="shared" si="40"/>
        <v>344.72185314508454</v>
      </c>
      <c r="L137" s="42">
        <f t="shared" si="41"/>
        <v>130.4190332054055</v>
      </c>
      <c r="M137" s="42">
        <v>0</v>
      </c>
      <c r="N137" s="43">
        <f t="shared" si="42"/>
        <v>22.638573884697905</v>
      </c>
      <c r="O137" s="27">
        <f t="shared" si="43"/>
        <v>-2367.6309534588258</v>
      </c>
      <c r="P137" s="27">
        <f t="shared" si="44"/>
        <v>117.71427580728854</v>
      </c>
      <c r="Q137" s="27">
        <f t="shared" si="45"/>
        <v>1199.5794109017509</v>
      </c>
      <c r="R137" s="73">
        <f t="shared" si="46"/>
        <v>-1199.5794109017509</v>
      </c>
    </row>
    <row r="138" spans="2:18" x14ac:dyDescent="0.3">
      <c r="B138" s="74">
        <f t="shared" si="47"/>
        <v>74.665931550197641</v>
      </c>
      <c r="C138" s="26">
        <f t="shared" si="32"/>
        <v>350.33406844980237</v>
      </c>
      <c r="D138" s="34">
        <f t="shared" si="33"/>
        <v>54100.220534940709</v>
      </c>
      <c r="E138" s="34">
        <f t="shared" si="34"/>
        <v>42000</v>
      </c>
      <c r="F138" s="34">
        <f t="shared" si="35"/>
        <v>43995.376243658015</v>
      </c>
      <c r="G138" s="35" t="b">
        <f t="shared" si="36"/>
        <v>1</v>
      </c>
      <c r="H138" s="33">
        <f t="shared" si="37"/>
        <v>1.5333606980348502</v>
      </c>
      <c r="I138" s="36">
        <f t="shared" si="38"/>
        <v>-5.6572487383666825E-2</v>
      </c>
      <c r="J138" s="39">
        <f t="shared" si="39"/>
        <v>149.89490530185006</v>
      </c>
      <c r="K138" s="39">
        <f t="shared" si="40"/>
        <v>344.72003562576162</v>
      </c>
      <c r="L138" s="42">
        <f t="shared" si="41"/>
        <v>130.38780627820279</v>
      </c>
      <c r="M138" s="42">
        <v>0</v>
      </c>
      <c r="N138" s="43">
        <f t="shared" si="42"/>
        <v>22.669800811900615</v>
      </c>
      <c r="O138" s="27">
        <f t="shared" si="43"/>
        <v>-2705.59171989064</v>
      </c>
      <c r="P138" s="27">
        <f t="shared" si="44"/>
        <v>127.62049186335898</v>
      </c>
      <c r="Q138" s="27">
        <f t="shared" si="45"/>
        <v>1370.5896812493552</v>
      </c>
      <c r="R138" s="73">
        <f t="shared" si="46"/>
        <v>-1370.5896812493552</v>
      </c>
    </row>
    <row r="139" spans="2:18" x14ac:dyDescent="0.3">
      <c r="B139" s="74">
        <f t="shared" si="47"/>
        <v>75.468791029232023</v>
      </c>
      <c r="C139" s="26">
        <f t="shared" si="32"/>
        <v>349.53120897076798</v>
      </c>
      <c r="D139" s="34">
        <f t="shared" si="33"/>
        <v>53859.362691230395</v>
      </c>
      <c r="E139" s="34">
        <f t="shared" si="34"/>
        <v>42000</v>
      </c>
      <c r="F139" s="34">
        <f t="shared" si="35"/>
        <v>43706.454994505562</v>
      </c>
      <c r="G139" s="35" t="b">
        <f t="shared" si="36"/>
        <v>1</v>
      </c>
      <c r="H139" s="33">
        <f t="shared" si="37"/>
        <v>1.5387057944876099</v>
      </c>
      <c r="I139" s="36">
        <f t="shared" si="38"/>
        <v>-5.6731978435097065E-2</v>
      </c>
      <c r="J139" s="39">
        <f t="shared" si="39"/>
        <v>149.92277145806949</v>
      </c>
      <c r="K139" s="39">
        <f t="shared" si="40"/>
        <v>344.71845525470667</v>
      </c>
      <c r="L139" s="42">
        <f t="shared" si="41"/>
        <v>130.36073629787535</v>
      </c>
      <c r="M139" s="42">
        <v>0</v>
      </c>
      <c r="N139" s="43">
        <f t="shared" si="42"/>
        <v>22.696870792228054</v>
      </c>
      <c r="O139" s="27">
        <f t="shared" si="43"/>
        <v>-3156.1158079127385</v>
      </c>
      <c r="P139" s="27">
        <f t="shared" si="44"/>
        <v>140.78682044862865</v>
      </c>
      <c r="Q139" s="27">
        <f t="shared" si="45"/>
        <v>1598.5587386849725</v>
      </c>
      <c r="R139" s="73">
        <f t="shared" si="46"/>
        <v>-1598.5587386849725</v>
      </c>
    </row>
    <row r="140" spans="2:18" x14ac:dyDescent="0.3">
      <c r="B140" s="74">
        <f t="shared" si="47"/>
        <v>76.271650508266404</v>
      </c>
      <c r="C140" s="26">
        <f t="shared" si="32"/>
        <v>348.72834949173358</v>
      </c>
      <c r="D140" s="34">
        <f t="shared" si="33"/>
        <v>53618.504847520075</v>
      </c>
      <c r="E140" s="34">
        <f t="shared" si="34"/>
        <v>42000</v>
      </c>
      <c r="F140" s="34">
        <f t="shared" si="35"/>
        <v>43418.822912039264</v>
      </c>
      <c r="G140" s="35" t="b">
        <f t="shared" si="36"/>
        <v>1</v>
      </c>
      <c r="H140" s="33">
        <f t="shared" si="37"/>
        <v>1.5440515697115573</v>
      </c>
      <c r="I140" s="36">
        <f t="shared" si="38"/>
        <v>-5.6866970915551353E-2</v>
      </c>
      <c r="J140" s="39">
        <f t="shared" si="39"/>
        <v>149.94635704524265</v>
      </c>
      <c r="K140" s="39">
        <f t="shared" si="40"/>
        <v>344.71711416323399</v>
      </c>
      <c r="L140" s="42">
        <f t="shared" si="41"/>
        <v>130.33782458462142</v>
      </c>
      <c r="M140" s="42">
        <v>0</v>
      </c>
      <c r="N140" s="43">
        <f t="shared" si="42"/>
        <v>22.719782505481987</v>
      </c>
      <c r="O140" s="27">
        <f t="shared" si="43"/>
        <v>-3786.742392281411</v>
      </c>
      <c r="P140" s="27">
        <f t="shared" si="44"/>
        <v>159.16938267798048</v>
      </c>
      <c r="Q140" s="27">
        <f t="shared" si="45"/>
        <v>1917.662859850933</v>
      </c>
      <c r="R140" s="73">
        <f t="shared" si="46"/>
        <v>-1917.662859850933</v>
      </c>
    </row>
    <row r="141" spans="2:18" x14ac:dyDescent="0.3">
      <c r="B141" s="74">
        <f t="shared" si="47"/>
        <v>77.074509987300786</v>
      </c>
      <c r="C141" s="26">
        <f t="shared" si="32"/>
        <v>347.92549001269924</v>
      </c>
      <c r="D141" s="34">
        <f t="shared" si="33"/>
        <v>53377.647003809776</v>
      </c>
      <c r="E141" s="34">
        <f t="shared" si="34"/>
        <v>42000</v>
      </c>
      <c r="F141" s="34">
        <f t="shared" si="35"/>
        <v>43132.479996259135</v>
      </c>
      <c r="G141" s="35" t="b">
        <f t="shared" si="36"/>
        <v>1</v>
      </c>
      <c r="H141" s="33">
        <f t="shared" si="37"/>
        <v>1.5493981883951655</v>
      </c>
      <c r="I141" s="36">
        <f t="shared" si="38"/>
        <v>-5.6977454089402017E-2</v>
      </c>
      <c r="J141" s="39">
        <f t="shared" si="39"/>
        <v>149.9656602857969</v>
      </c>
      <c r="K141" s="39">
        <f t="shared" si="40"/>
        <v>344.71601419179666</v>
      </c>
      <c r="L141" s="42">
        <f t="shared" si="41"/>
        <v>130.31907286522588</v>
      </c>
      <c r="M141" s="42">
        <v>0</v>
      </c>
      <c r="N141" s="43">
        <f t="shared" si="42"/>
        <v>22.738534224877526</v>
      </c>
      <c r="O141" s="27">
        <f t="shared" si="43"/>
        <v>-4732.5497969278313</v>
      </c>
      <c r="P141" s="27">
        <f t="shared" si="44"/>
        <v>186.68042507314595</v>
      </c>
      <c r="Q141" s="27">
        <f t="shared" si="45"/>
        <v>2396.2545784201384</v>
      </c>
      <c r="R141" s="73">
        <f t="shared" si="46"/>
        <v>-2396.2545784201384</v>
      </c>
    </row>
    <row r="142" spans="2:18" x14ac:dyDescent="0.3">
      <c r="B142" s="74">
        <f t="shared" si="47"/>
        <v>77.877369466335168</v>
      </c>
      <c r="C142" s="26">
        <f t="shared" si="32"/>
        <v>347.12263053366485</v>
      </c>
      <c r="D142" s="34">
        <f t="shared" si="33"/>
        <v>53136.789160099455</v>
      </c>
      <c r="E142" s="34">
        <f t="shared" si="34"/>
        <v>42000</v>
      </c>
      <c r="F142" s="34">
        <f t="shared" si="35"/>
        <v>42847.426247165145</v>
      </c>
      <c r="G142" s="35" t="b">
        <f t="shared" si="36"/>
        <v>1</v>
      </c>
      <c r="H142" s="33">
        <f t="shared" si="37"/>
        <v>1.5547458133556107</v>
      </c>
      <c r="I142" s="36">
        <f t="shared" si="38"/>
        <v>-5.7063414968713873E-2</v>
      </c>
      <c r="J142" s="39">
        <f t="shared" si="39"/>
        <v>149.9806789911687</v>
      </c>
      <c r="K142" s="39">
        <f t="shared" si="40"/>
        <v>344.71515688936449</v>
      </c>
      <c r="L142" s="42">
        <f t="shared" si="41"/>
        <v>130.30448326572184</v>
      </c>
      <c r="M142" s="42">
        <v>0</v>
      </c>
      <c r="N142" s="43">
        <f t="shared" si="42"/>
        <v>22.753123824381561</v>
      </c>
      <c r="O142" s="27">
        <f t="shared" si="43"/>
        <v>-6308.7207441224864</v>
      </c>
      <c r="P142" s="27">
        <f t="shared" si="44"/>
        <v>232.44852834477084</v>
      </c>
      <c r="Q142" s="27">
        <f t="shared" si="45"/>
        <v>3193.8231138578744</v>
      </c>
      <c r="R142" s="73">
        <f t="shared" si="46"/>
        <v>-3193.8231138578744</v>
      </c>
    </row>
    <row r="143" spans="2:18" x14ac:dyDescent="0.3">
      <c r="B143" s="74">
        <f>B142+CvMaxTab/100</f>
        <v>78.680228945369549</v>
      </c>
      <c r="C143" s="26">
        <f t="shared" si="32"/>
        <v>346.31977105463045</v>
      </c>
      <c r="D143" s="34">
        <f t="shared" si="33"/>
        <v>52895.931316389135</v>
      </c>
      <c r="E143" s="34">
        <f t="shared" si="34"/>
        <v>42000</v>
      </c>
      <c r="F143" s="34">
        <f t="shared" si="35"/>
        <v>42563.661664757296</v>
      </c>
      <c r="G143" s="35" t="b">
        <f t="shared" si="36"/>
        <v>1</v>
      </c>
      <c r="H143" s="33">
        <f t="shared" si="37"/>
        <v>1.5600946055772174</v>
      </c>
      <c r="I143" s="36">
        <f t="shared" si="38"/>
        <v>-5.712483835668667E-2</v>
      </c>
      <c r="J143" s="39">
        <f t="shared" si="39"/>
        <v>149.99141056920058</v>
      </c>
      <c r="K143" s="39">
        <f t="shared" si="40"/>
        <v>344.71454351266141</v>
      </c>
      <c r="L143" s="42">
        <f t="shared" si="41"/>
        <v>130.29405830420515</v>
      </c>
      <c r="M143" s="42">
        <v>0</v>
      </c>
      <c r="N143" s="43">
        <f t="shared" si="42"/>
        <v>22.763548785898251</v>
      </c>
      <c r="O143" s="27">
        <f t="shared" si="43"/>
        <v>-9460.8033511720168</v>
      </c>
      <c r="P143" s="27">
        <f t="shared" si="44"/>
        <v>323.85944253234544</v>
      </c>
      <c r="Q143" s="27">
        <f t="shared" si="45"/>
        <v>4788.8360864845299</v>
      </c>
      <c r="R143" s="73">
        <f t="shared" si="46"/>
        <v>-4788.8360864845299</v>
      </c>
    </row>
    <row r="144" spans="2:18" x14ac:dyDescent="0.3">
      <c r="B144" s="74">
        <f t="shared" si="47"/>
        <v>79.483088424403931</v>
      </c>
      <c r="C144" s="26">
        <f t="shared" si="32"/>
        <v>345.51691157559605</v>
      </c>
      <c r="D144" s="34">
        <f t="shared" si="33"/>
        <v>52655.073472678814</v>
      </c>
      <c r="E144" s="34">
        <f t="shared" si="34"/>
        <v>42000</v>
      </c>
      <c r="F144" s="34">
        <f t="shared" si="35"/>
        <v>42281.1862490356</v>
      </c>
      <c r="G144" s="35" t="b">
        <f t="shared" si="36"/>
        <v>1</v>
      </c>
      <c r="H144" s="33">
        <f t="shared" si="37"/>
        <v>1.5654447242480483</v>
      </c>
      <c r="I144" s="36">
        <f t="shared" si="38"/>
        <v>-5.7161706890078108E-2</v>
      </c>
      <c r="J144" s="39">
        <f t="shared" si="39"/>
        <v>149.99785203138998</v>
      </c>
      <c r="K144" s="39">
        <f t="shared" si="40"/>
        <v>344.71417502526356</v>
      </c>
      <c r="L144" s="42">
        <f t="shared" si="41"/>
        <v>130.28780088379258</v>
      </c>
      <c r="M144" s="42">
        <v>0</v>
      </c>
      <c r="N144" s="43">
        <f t="shared" si="42"/>
        <v>22.769806206310818</v>
      </c>
      <c r="O144" s="27">
        <f t="shared" si="43"/>
        <v>-18916.538107144996</v>
      </c>
      <c r="P144" s="27">
        <f t="shared" si="44"/>
        <v>597.84193299974038</v>
      </c>
      <c r="Q144" s="27">
        <f t="shared" si="45"/>
        <v>9573.6315228290277</v>
      </c>
      <c r="R144" s="73">
        <f t="shared" si="46"/>
        <v>-9573.6315228290277</v>
      </c>
    </row>
    <row r="145" spans="2:18" x14ac:dyDescent="0.3">
      <c r="B145" s="75">
        <f>CvMax</f>
        <v>80.285947903438512</v>
      </c>
      <c r="C145" s="46">
        <f t="shared" si="32"/>
        <v>344.71405209656149</v>
      </c>
      <c r="D145" s="47">
        <f t="shared" si="33"/>
        <v>52414.21562896845</v>
      </c>
      <c r="E145" s="47">
        <f t="shared" si="34"/>
        <v>42000</v>
      </c>
      <c r="F145" s="47">
        <f t="shared" si="35"/>
        <v>42000</v>
      </c>
      <c r="G145" s="48" t="b">
        <f t="shared" si="36"/>
        <v>1</v>
      </c>
      <c r="H145" s="33">
        <f t="shared" si="37"/>
        <v>1.5707963267948966</v>
      </c>
      <c r="I145" s="49">
        <f t="shared" si="38"/>
        <v>-5.7174001080663006E-2</v>
      </c>
      <c r="J145" s="50">
        <f t="shared" si="39"/>
        <v>150</v>
      </c>
      <c r="K145" s="50">
        <f t="shared" si="40"/>
        <v>344.71405209656149</v>
      </c>
      <c r="L145" s="51">
        <f t="shared" si="41"/>
        <v>130.28571428571428</v>
      </c>
      <c r="M145" s="51">
        <v>0</v>
      </c>
      <c r="N145" s="52">
        <f t="shared" si="42"/>
        <v>22.771892804389125</v>
      </c>
      <c r="O145" s="57" t="str">
        <f>IF(ABS((Fv*((XcTab-Xb)*TAN(δTab)+YaTab)*TAN(θTab)+Fv*(XaTab-Xb))/((2*XcTab-2*Xb)*TAN(δTab)+2*Yb))&lt;ABS(O45)*10000,(Fv*((XcTab-Xb)*TAN(δTab)+Ya)*TAN(θTab)+Fv*(XaTab-Xb))/((2*XcTab-2*Xb)*TAN(δTab)+2*Yb),"ꚙ")</f>
        <v>ꚙ</v>
      </c>
      <c r="P145" s="57" t="str">
        <f>IF(ABS((Fv*((XcTab-Xb)*TAN(δTab)+YaTab)*TAN(θTab)+Fv*(XaTab-Xb))/((2*XcTab-2*Xb)*TAN(δTab)+2*Yb))&lt;ABS(P45)*10000,(Fv*((XcTab-Xb)*TAN(δTab)+Ytab)*TAN(θTab)+Fv*(XaTab-Xb))/((2*XcTab-2*Xb)*TAN(δTab)+2*Yb),"ꚙ")</f>
        <v>ꚙ</v>
      </c>
      <c r="Q145" s="57" t="str">
        <f>IF(ABS((Fv*((XcTab-Xb)*TAN(δTab)+YaTab)*TAN(θTab)+Fv*(XaTab-Xb))/((2*XcTab-2*Xb)*TAN(δTab)+2*Yb))&lt;ABS(Q45)*10000,(Fv*((XcTab-Xb)*TAN(δTab)+YaTab)*TAN(θTab)+Fv*(XaTab-Xb))/((2*XcTab-2*Xb)*TAN(δTab)+2*Yb),"ꚙ")</f>
        <v>ꚙ</v>
      </c>
      <c r="R145" s="76" t="str">
        <f>IF(ABS((Fv*((XcTab-Xb)*TAN(δTab)+YaTab)*TAN(θTab)+Fv*(XaTab-Xb))/((2*XcTab-2*Xb)*TAN(δTab)+2*Yb))&lt;ABS(R45)*10000,(Fv*((XcTab-Xb)*TAN(δTab)+YaTab)*TAN(θTab)+Fv*(XaTab-Xb))/((2*XcTab-2*Xb)*TAN(δTab)+2*Yb),"ꚙ")</f>
        <v>ꚙ</v>
      </c>
    </row>
    <row r="146" spans="2:18" x14ac:dyDescent="0.3">
      <c r="B146" s="77"/>
      <c r="C146" s="45"/>
      <c r="D146" s="45"/>
      <c r="E146" s="45"/>
      <c r="F146" s="45"/>
      <c r="G146" s="45"/>
      <c r="H146" s="45"/>
      <c r="I146" s="45"/>
      <c r="J146" s="19"/>
      <c r="K146" s="19"/>
      <c r="L146" s="19"/>
      <c r="M146" s="19"/>
      <c r="N146" s="19"/>
      <c r="O146" s="90" t="s">
        <v>56</v>
      </c>
      <c r="P146" s="90"/>
      <c r="Q146" s="90"/>
      <c r="R146" s="91"/>
    </row>
    <row r="147" spans="2:18" x14ac:dyDescent="0.3">
      <c r="B147" s="60"/>
      <c r="C147" s="8"/>
      <c r="D147" s="8"/>
      <c r="E147" s="8"/>
      <c r="F147" s="8"/>
      <c r="G147" s="8"/>
      <c r="H147" s="8"/>
      <c r="I147" s="8"/>
      <c r="J147" s="2"/>
      <c r="K147" s="2"/>
      <c r="L147" s="2"/>
      <c r="M147" s="2"/>
      <c r="N147" s="2"/>
      <c r="O147" s="92"/>
      <c r="P147" s="92"/>
      <c r="Q147" s="92"/>
      <c r="R147" s="93"/>
    </row>
    <row r="148" spans="2:18" ht="15" thickBot="1" x14ac:dyDescent="0.35">
      <c r="B148" s="64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94"/>
      <c r="P148" s="94"/>
      <c r="Q148" s="94"/>
      <c r="R148" s="95"/>
    </row>
  </sheetData>
  <mergeCells count="17">
    <mergeCell ref="V28:Z29"/>
    <mergeCell ref="U2:Z3"/>
    <mergeCell ref="D42:I42"/>
    <mergeCell ref="V30:Z31"/>
    <mergeCell ref="O41:R41"/>
    <mergeCell ref="F6:G6"/>
    <mergeCell ref="W5:X5"/>
    <mergeCell ref="W17:X17"/>
    <mergeCell ref="X19:X20"/>
    <mergeCell ref="O146:R148"/>
    <mergeCell ref="O42:Q42"/>
    <mergeCell ref="D43:F43"/>
    <mergeCell ref="B41:N41"/>
    <mergeCell ref="F7:G7"/>
    <mergeCell ref="J42:K42"/>
    <mergeCell ref="L42:M42"/>
    <mergeCell ref="F14:G1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38</vt:i4>
      </vt:variant>
    </vt:vector>
  </HeadingPairs>
  <TitlesOfParts>
    <vt:vector size="39" baseType="lpstr">
      <vt:lpstr>Calculs</vt:lpstr>
      <vt:lpstr>a_1Tab</vt:lpstr>
      <vt:lpstr>AD</vt:lpstr>
      <vt:lpstr>b_1Tab</vt:lpstr>
      <vt:lpstr>b1_Tab</vt:lpstr>
      <vt:lpstr>BA</vt:lpstr>
      <vt:lpstr>c_1Tab</vt:lpstr>
      <vt:lpstr>CcTab</vt:lpstr>
      <vt:lpstr>CourseVérTab</vt:lpstr>
      <vt:lpstr>Cv</vt:lpstr>
      <vt:lpstr>CvMax</vt:lpstr>
      <vt:lpstr>CvMaxTab</vt:lpstr>
      <vt:lpstr>Données</vt:lpstr>
      <vt:lpstr>FsTab</vt:lpstr>
      <vt:lpstr>Fv</vt:lpstr>
      <vt:lpstr>XaFin</vt:lpstr>
      <vt:lpstr>Xao</vt:lpstr>
      <vt:lpstr>XaTab</vt:lpstr>
      <vt:lpstr>Xb</vt:lpstr>
      <vt:lpstr>Xco</vt:lpstr>
      <vt:lpstr>XcTab</vt:lpstr>
      <vt:lpstr>Xdo</vt:lpstr>
      <vt:lpstr>XRbTab</vt:lpstr>
      <vt:lpstr>XRcTab</vt:lpstr>
      <vt:lpstr>YaFin</vt:lpstr>
      <vt:lpstr>Yao</vt:lpstr>
      <vt:lpstr>YaTab</vt:lpstr>
      <vt:lpstr>Yb</vt:lpstr>
      <vt:lpstr>Yco</vt:lpstr>
      <vt:lpstr>YcTab</vt:lpstr>
      <vt:lpstr>Ydo</vt:lpstr>
      <vt:lpstr>YdTab</vt:lpstr>
      <vt:lpstr>YRbTab</vt:lpstr>
      <vt:lpstr>δfin</vt:lpstr>
      <vt:lpstr>δo</vt:lpstr>
      <vt:lpstr>δTab</vt:lpstr>
      <vt:lpstr>ε1</vt:lpstr>
      <vt:lpstr>θo</vt:lpstr>
      <vt:lpstr>θTab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cp:lastPrinted>2023-06-29T15:53:25Z</cp:lastPrinted>
  <dcterms:created xsi:type="dcterms:W3CDTF">2023-06-29T03:41:44Z</dcterms:created>
  <dcterms:modified xsi:type="dcterms:W3CDTF">2023-07-01T12:24:05Z</dcterms:modified>
</cp:coreProperties>
</file>